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NgOy4QgjA3grMIpEMEYzvLp0lgfNVEOhnQBGTpdfSn+9x2H4N+4V+dpXBxcAEMIU9I1mBZ7EebvD7Ajj9NjtvQ==" workbookSaltValue="LsstzhzLsvIIYEig1Ksv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N9" i="11" s="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3" i="17"/>
  <c r="S13" i="17" s="1"/>
  <c r="BD11" i="13"/>
  <c r="BF18" i="8"/>
  <c r="AN21" i="13"/>
  <c r="D20" i="12"/>
  <c r="ER21" i="8"/>
  <c r="N19" i="11"/>
  <c r="AE14" i="21"/>
  <c r="EL21" i="8"/>
  <c r="EQ21" i="8"/>
  <c r="EN21" i="8"/>
  <c r="K20" i="11"/>
  <c r="BA14" i="16"/>
  <c r="N10" i="11"/>
  <c r="ES21" i="8"/>
  <c r="G20" i="12"/>
  <c r="AQ19" i="11"/>
  <c r="AK21" i="8"/>
  <c r="EP21" i="8"/>
  <c r="ER21" i="13"/>
  <c r="AL14" i="16"/>
  <c r="EP21" i="19"/>
  <c r="AP17" i="20"/>
  <c r="BK13" i="11"/>
  <c r="BM17" i="11"/>
  <c r="BH19" i="11"/>
  <c r="AZ19" i="11"/>
  <c r="S14" i="16"/>
  <c r="V12" i="21"/>
  <c r="P14" i="16"/>
  <c r="Z14" i="17"/>
  <c r="F18" i="17"/>
  <c r="AQ18" i="17" s="1"/>
  <c r="V18" i="16"/>
  <c r="K20" i="2"/>
  <c r="N14" i="2"/>
  <c r="T14" i="12"/>
  <c r="BK16" i="11"/>
  <c r="V13" i="11"/>
  <c r="BM13" i="11"/>
  <c r="BL11" i="11"/>
  <c r="BM16" i="11"/>
  <c r="BV19" i="16"/>
  <c r="BV17" i="16"/>
  <c r="BW11" i="20"/>
  <c r="V12" i="16"/>
  <c r="T14" i="16"/>
  <c r="T17" i="11"/>
  <c r="BH10" i="11"/>
  <c r="AQ10" i="21"/>
  <c r="BH10" i="16"/>
  <c r="BM18" i="11"/>
  <c r="BF16" i="11"/>
  <c r="BH17" i="11"/>
  <c r="AQ12" i="21"/>
  <c r="BJ17" i="11"/>
  <c r="BL17" i="11"/>
  <c r="AY20" i="8"/>
  <c r="E14" i="17"/>
  <c r="AH14" i="16"/>
  <c r="S17" i="17"/>
  <c r="L17"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AF22" i="20"/>
  <c r="U18" i="11"/>
  <c r="AL22" i="20"/>
  <c r="AG22" i="20"/>
  <c r="M22" i="20"/>
  <c r="W22" i="21"/>
  <c r="AE22" i="20"/>
  <c r="L22" i="20"/>
  <c r="N22" i="20"/>
  <c r="AE21" i="8" l="1"/>
  <c r="BF16" i="8"/>
  <c r="BG16" i="8"/>
  <c r="K16" i="7" s="1"/>
  <c r="F14" i="7"/>
  <c r="BA14" i="8"/>
  <c r="BG10" i="8"/>
  <c r="AY14" i="8"/>
  <c r="C14" i="7"/>
  <c r="R21" i="8"/>
  <c r="BE9" i="8"/>
  <c r="I9" i="7" s="1"/>
  <c r="B19" i="6"/>
  <c r="H12" i="2"/>
  <c r="AL16" i="11"/>
  <c r="M14" i="2"/>
  <c r="M20" i="2"/>
  <c r="N20" i="2"/>
  <c r="F13" i="2"/>
  <c r="Q16" i="17"/>
  <c r="S10" i="17"/>
  <c r="BI9" i="11"/>
  <c r="Q18" i="17"/>
  <c r="AA16" i="16"/>
  <c r="BV9" i="16"/>
  <c r="BV10" i="16"/>
  <c r="BV16" i="16"/>
  <c r="BV13" i="16"/>
  <c r="T16" i="16"/>
  <c r="BL13" i="11"/>
  <c r="AP16" i="20"/>
  <c r="BI16" i="11"/>
  <c r="AP10" i="21"/>
  <c r="BF10" i="11"/>
  <c r="V11" i="16"/>
  <c r="BG10" i="11"/>
  <c r="BL19" i="11"/>
  <c r="F11" i="16"/>
  <c r="BL11" i="16" s="1"/>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F22" i="20"/>
  <c r="AK22" i="20"/>
  <c r="AU22" i="20"/>
  <c r="O10" i="11"/>
  <c r="X22" i="20"/>
  <c r="AN22" i="20"/>
  <c r="T22" i="20"/>
  <c r="AD22" i="20"/>
  <c r="AP22" i="20"/>
  <c r="AI22" i="20"/>
  <c r="Q22" i="20"/>
  <c r="T22" i="21"/>
  <c r="AZ22" i="20"/>
  <c r="O18" i="11"/>
  <c r="AX22" i="20"/>
  <c r="H22" i="20"/>
  <c r="G20" i="14"/>
  <c r="AJ22" i="20"/>
  <c r="AV22" i="20"/>
  <c r="O17" i="11"/>
  <c r="E22" i="20"/>
  <c r="R22" i="20"/>
  <c r="AH22" i="20"/>
  <c r="AM22" i="20"/>
  <c r="K9" i="12" l="1"/>
  <c r="I12" i="12"/>
  <c r="Q9" i="11"/>
  <c r="BK14" i="11"/>
  <c r="R21" i="21"/>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I22" i="20"/>
  <c r="J22" i="20"/>
  <c r="S22" i="20"/>
  <c r="AW22" i="11"/>
  <c r="AV22" i="21"/>
  <c r="AO22" i="20"/>
  <c r="P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S22" i="16"/>
  <c r="AB22" i="17"/>
  <c r="N22" i="16"/>
  <c r="M22" i="17"/>
  <c r="S22" i="11"/>
  <c r="E22" i="17"/>
  <c r="M22" i="21"/>
  <c r="BD22" i="16"/>
  <c r="BQ22" i="16"/>
  <c r="L22" i="11"/>
  <c r="Y22" i="16"/>
  <c r="V22" i="16"/>
  <c r="AW22" i="16"/>
  <c r="AN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X22" i="21"/>
  <c r="AR22" i="20"/>
  <c r="AR22" i="11"/>
  <c r="R22" i="17"/>
  <c r="AM22" i="21"/>
  <c r="AK22" i="16"/>
  <c r="L22" i="21"/>
  <c r="Q22" i="17"/>
  <c r="AD22" i="17"/>
  <c r="AR22" i="21"/>
  <c r="S22" i="21"/>
  <c r="AP22" i="16"/>
  <c r="AI22" i="11"/>
  <c r="AT22" i="17"/>
  <c r="O22" i="11"/>
  <c r="P22" i="11"/>
  <c r="AU22" i="16"/>
  <c r="AF22" i="16"/>
  <c r="AI22" i="16"/>
  <c r="N22" i="17"/>
  <c r="AW22" i="21"/>
  <c r="F22" i="11"/>
  <c r="AO22" i="17"/>
  <c r="AY22" i="16"/>
  <c r="I22" i="17"/>
  <c r="AG22" i="16"/>
  <c r="AK22" i="21"/>
  <c r="Q22" i="16"/>
  <c r="AB22" i="16"/>
  <c r="Z22" i="17"/>
  <c r="V22" i="17"/>
  <c r="BD21" i="8" l="1"/>
  <c r="AQ22" i="17"/>
  <c r="AT22" i="21"/>
  <c r="BL22" i="16"/>
  <c r="AQ22" i="11"/>
  <c r="AP22"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<sst xmlns="http://schemas.openxmlformats.org/spreadsheetml/2006/main" count="2215" uniqueCount="979">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</sst>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HgOAJg/fu3cEcfv7nKwrThGhxX2d5gXeG4TKZ9ShN/nLjynxnizY1A7irN4AkLSvX+HeZfChR0enG5oKOrJGA==" saltValue="t7sBHzMcGUVWBH5hFpfS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39.245481927710848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111</v>
      </c>
      <c r="D10" s="230">
        <f>IF(ISNUMBER(Datos!I10),Datos!I10," - ")</f>
        <v>111</v>
      </c>
      <c r="E10" s="231">
        <f>IF(ISNUMBER(Datos!J10),Datos!J10," - ")</f>
        <v>55</v>
      </c>
      <c r="F10" s="231">
        <f>IF(ISNUMBER(Datos!K10),Datos!K10," - ")</f>
        <v>37</v>
      </c>
      <c r="G10" s="1193" t="str">
        <f>IF(Datos!E10&lt;&gt;"",Datos!E10,Datos!D10)</f>
        <v>37</v>
      </c>
      <c r="H10" s="232">
        <f>IF(ISNUMBER(Datos!L10),Datos!L10," - ")</f>
        <v>129</v>
      </c>
      <c r="I10" s="1203" t="str">
        <f>IF(ISNUMBER(Datos!AS10/Datos!BM10),Datos!AS10/Datos!BM10," - ")</f>
        <v xml:space="preserve"> - </v>
      </c>
      <c r="J10" s="1204">
        <f>IF(ISNUMBER(Datos!BY10/Datos!CN10),Datos!BY10/Datos!CN10," - ")</f>
        <v>0</v>
      </c>
      <c r="K10" s="235">
        <f t="shared" ref="K10:K13" si="1">IF(ISNUMBER((E10-F10)/C10),(E10-F10)/C10," - ")</f>
        <v>0.16216216216216217</v>
      </c>
      <c r="L10" s="1205">
        <f>IF(ISNUMBER(NºAsuntos!I10/NºAsuntos!G10),(NºAsuntos!I10/NºAsuntos!G10)*11," - ")</f>
        <v>38.351351351351347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24.364485981308409</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111</v>
      </c>
      <c r="D14" s="1210">
        <f>SUBTOTAL(9,D9:D13)</f>
        <v>111</v>
      </c>
      <c r="E14" s="1211">
        <f>SUBTOTAL(9,E9:E13)</f>
        <v>55</v>
      </c>
      <c r="F14" s="1212">
        <f>SUBTOTAL(9,F9:F13)</f>
        <v>37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2330</v>
      </c>
      <c r="D16" s="230">
        <f>IF(ISNUMBER(IF(D_I="SI",Datos!I16,Datos!I16+Datos!AC16)),IF(D_I="SI",Datos!I16,Datos!I16+Datos!AC16)," - ")</f>
        <v>2272</v>
      </c>
      <c r="E16" s="231">
        <f>IF(ISNUMBER(IF(D_I="SI",Datos!J16,Datos!J16+Datos!AD16)),IF(D_I="SI",Datos!J16,Datos!J16+Datos!AD16)," - ")</f>
        <v>2720</v>
      </c>
      <c r="F16" s="231">
        <f>IF(ISNUMBER(IF(D_I="SI",Datos!K16,Datos!K16+Datos!AE16)),IF(D_I="SI",Datos!K16,Datos!K16+Datos!AE16)," - ")</f>
        <v>2496</v>
      </c>
      <c r="G16" s="1193" t="str">
        <f>IF(Datos!E16&lt;&gt;"",Datos!E16,Datos!D16)</f>
        <v>03</v>
      </c>
      <c r="H16" s="232">
        <f>IF(ISNUMBER(IF(D_I="SI",Datos!L16,Datos!L16+Datos!AF16)),IF(D_I="SI",Datos!L16,Datos!L16+Datos!AF16)," - ")</f>
        <v>2554</v>
      </c>
      <c r="I16" s="1203" t="str">
        <f>IF(ISNUMBER(Datos!AS16/Datos!BM16),Datos!AS16/Datos!BM16," - ")</f>
        <v xml:space="preserve"> - </v>
      </c>
      <c r="J16" s="1204">
        <f>IF(ISNUMBER(Datos!BY16/Datos!CN16),Datos!BY16/Datos!CN16," - ")</f>
        <v>0</v>
      </c>
      <c r="K16" s="235">
        <f t="shared" ref="K16:K19" si="3">IF(ISNUMBER((E16-F16)/C16),(E16-F16)/C16," - ")</f>
        <v>9.6137339055793997E-2</v>
      </c>
      <c r="L16" s="1205">
        <f>IF(ISNUMBER(NºAsuntos!I16/NºAsuntos!G16),(NºAsuntos!I16/NºAsuntos!G16)*11," - ")</f>
        <v>11.255608974358974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278</v>
      </c>
      <c r="D18" s="230">
        <f>IF(ISNUMBER(IF(D_I="SI",Datos!I18,Datos!I18+Datos!AC18)),IF(D_I="SI",Datos!I18,Datos!I18+Datos!AC18)," - ")</f>
        <v>278</v>
      </c>
      <c r="E18" s="231">
        <f>IF(ISNUMBER(IF(D_I="SI",Datos!J18,Datos!J18+Datos!AD18)),IF(D_I="SI",Datos!J18,Datos!J18+Datos!AD18)," - ")</f>
        <v>494</v>
      </c>
      <c r="F18" s="231">
        <f>IF(ISNUMBER(IF(D_I="SI",Datos!K18,Datos!K18+Datos!AE18)),IF(D_I="SI",Datos!K18,Datos!K18+Datos!AE18)," - ")</f>
        <v>404</v>
      </c>
      <c r="G18" s="1193" t="str">
        <f>IF(Datos!E18&lt;&gt;"",Datos!E18,Datos!D18)</f>
        <v>37</v>
      </c>
      <c r="H18" s="232">
        <f>IF(ISNUMBER(IF(D_I="SI",Datos!L18,Datos!L18+Datos!AF18)),IF(D_I="SI",Datos!L18,Datos!L18+Datos!AF18)," - ")</f>
        <v>368</v>
      </c>
      <c r="I18" s="1203" t="str">
        <f>IF(ISNUMBER(Datos!AS18/Datos!BM18),Datos!AS18/Datos!BM18," - ")</f>
        <v xml:space="preserve"> - </v>
      </c>
      <c r="J18" s="1204" t="str">
        <f>IF(ISNUMBER((Datos!BY18+Datos!BZ18)/Datos!CN18),(Datos!BY18+Datos!BZ18)/Datos!CN18," - ")</f>
        <v xml:space="preserve"> - </v>
      </c>
      <c r="K18" s="235">
        <f t="shared" si="3"/>
        <v>0.32374100719424459</v>
      </c>
      <c r="L18" s="1205">
        <f>IF(ISNUMBER(NºAsuntos!I18/NºAsuntos!G18),(NºAsuntos!I18/NºAsuntos!G18)*11," - ")</f>
        <v>10.01980198019802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2608</v>
      </c>
      <c r="D20" s="1210">
        <f>SUBTOTAL(9,D16:D19)</f>
        <v>2550</v>
      </c>
      <c r="E20" s="1211">
        <f>SUBTOTAL(9,E16:E19)</f>
        <v>3214</v>
      </c>
      <c r="F20" s="1211">
        <f>SUBTOTAL(9,F16:F19)</f>
        <v>2900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2719</v>
      </c>
      <c r="D21" s="1232">
        <f>SUBTOTAL(9,D9:D20)</f>
        <v>2661</v>
      </c>
      <c r="E21" s="1233">
        <f>SUBTOTAL(9,E9:E20)</f>
        <v>3269</v>
      </c>
      <c r="F21" s="1233">
        <f>SUBTOTAL(9,F9:F20)</f>
        <v>2937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K/lVkM/YfjFpUpIPg9JaLGFOdT5UXgxny8coNW8qsXLzta/aGfRFWZ1raftRIT8gQfRz/cI+VyGQU0uOYj4Eg==" saltValue="NdF+/BebXvj4ULMFlBbvh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R3GW28VydS9i2OfOmnOvH/w4FmSvlI5khUAVxSNf182Tv8hJQNej9pd4eLCkoB+S2BJtuOZR+RovIUXlsgDIw==" saltValue="wuk6K+jw785HeTJtFfzj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9857</v>
      </c>
      <c r="J9" s="186">
        <v>1949</v>
      </c>
      <c r="K9" s="186">
        <v>2554</v>
      </c>
      <c r="L9" s="186">
        <v>9300</v>
      </c>
      <c r="M9" s="186">
        <v>549</v>
      </c>
      <c r="N9" s="186">
        <v>1119</v>
      </c>
      <c r="O9" s="186">
        <v>1139</v>
      </c>
      <c r="P9" s="186">
        <v>488</v>
      </c>
      <c r="Q9" s="186">
        <v>632</v>
      </c>
      <c r="R9" s="186">
        <v>12567</v>
      </c>
      <c r="S9" s="186">
        <v>7532</v>
      </c>
      <c r="T9" s="186">
        <v>3249</v>
      </c>
      <c r="U9" s="186">
        <v>2743</v>
      </c>
      <c r="V9" s="186">
        <v>8311</v>
      </c>
      <c r="W9" s="186">
        <v>552</v>
      </c>
      <c r="X9" s="193">
        <v>1112</v>
      </c>
      <c r="Y9" s="196">
        <v>216</v>
      </c>
      <c r="Z9" s="186">
        <v>59</v>
      </c>
      <c r="AA9" s="186">
        <v>102</v>
      </c>
      <c r="AB9" s="186">
        <v>176</v>
      </c>
      <c r="AC9" s="186">
        <v>0</v>
      </c>
      <c r="AD9" s="186">
        <v>0</v>
      </c>
      <c r="AE9" s="186">
        <v>0</v>
      </c>
      <c r="AF9" s="193">
        <v>0</v>
      </c>
      <c r="AG9" s="196">
        <v>204</v>
      </c>
      <c r="AH9" s="186">
        <v>169</v>
      </c>
      <c r="AI9" s="186">
        <v>166</v>
      </c>
      <c r="AJ9" s="197">
        <v>212</v>
      </c>
      <c r="AK9" s="185">
        <v>0</v>
      </c>
      <c r="AL9" s="186">
        <v>0</v>
      </c>
      <c r="AM9" s="186">
        <v>0</v>
      </c>
      <c r="AN9" s="193">
        <v>0</v>
      </c>
      <c r="AO9" s="263">
        <v>6</v>
      </c>
      <c r="AP9" s="159">
        <v>6</v>
      </c>
      <c r="AQ9" s="159">
        <v>6</v>
      </c>
      <c r="AR9" s="198">
        <v>6</v>
      </c>
      <c r="AS9" s="348" t="s">
        <v>871</v>
      </c>
      <c r="AT9" s="200"/>
      <c r="AU9" s="199"/>
      <c r="AV9" s="200"/>
      <c r="AW9" s="199"/>
      <c r="AX9" s="200"/>
      <c r="AY9" s="125">
        <f>IF(ISNUMBER(IF(J_V="SI",S9,S9+AG9)),IF(J_V="SI",S9,S9+AG9)," - ")</f>
        <v>7736</v>
      </c>
      <c r="AZ9" s="125">
        <f>IF(ISNUMBER(IF(J_V="SI",T9,T9+AH9)),IF(J_V="SI",T9,T9+AH9)," - ")</f>
        <v>3418</v>
      </c>
      <c r="BA9" s="126">
        <f>IF(ISNUMBER(IF(J_V="SI",U9,U9+AI9)),IF(J_V="SI",U9,U9+AI9)," - ")</f>
        <v>2909</v>
      </c>
      <c r="BB9" s="126">
        <f>IF(ISNUMBER(IF(J_V="SI",V9,V9+AJ9)),IF(J_V="SI",V9,V9+AJ9)," - ")</f>
        <v>8523</v>
      </c>
      <c r="BC9" s="127">
        <f>IF(ISNUMBER(X9),X9," - ")</f>
        <v>1112</v>
      </c>
      <c r="BD9" s="128">
        <f>IF(ISNUMBER(BA9/AZ9),BA9/AZ9," - ")</f>
        <v>0.85108250438853128</v>
      </c>
      <c r="BE9" s="129">
        <f>IF(ISNUMBER(BB9/BA9),BB9/BA9, " - ")</f>
        <v>2.9298728085252663</v>
      </c>
      <c r="BF9" s="129">
        <f>IF(ISNUMBER(BC9/BA9),BC9/BA9, " - ")</f>
        <v>0.38226194568580268</v>
      </c>
      <c r="BG9" s="201">
        <f>IF(ISNUMBER((AY9+AZ9)/BA9),(AY9+AZ9)/BA9," - ")</f>
        <v>3.8343073221038155</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111</v>
      </c>
      <c r="J10" s="186">
        <v>55</v>
      </c>
      <c r="K10" s="186">
        <v>37</v>
      </c>
      <c r="L10" s="186">
        <v>129</v>
      </c>
      <c r="M10" s="186">
        <v>16</v>
      </c>
      <c r="N10" s="186">
        <v>11</v>
      </c>
      <c r="O10" s="186">
        <v>18</v>
      </c>
      <c r="P10" s="186">
        <v>23</v>
      </c>
      <c r="Q10" s="186">
        <v>8</v>
      </c>
      <c r="R10" s="186">
        <v>181</v>
      </c>
      <c r="S10" s="186">
        <v>141</v>
      </c>
      <c r="T10" s="186">
        <v>70</v>
      </c>
      <c r="U10" s="186">
        <v>84</v>
      </c>
      <c r="V10" s="186">
        <v>127</v>
      </c>
      <c r="W10" s="186">
        <v>35</v>
      </c>
      <c r="X10" s="193">
        <v>40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2</v>
      </c>
      <c r="AQ10" s="159">
        <v>2</v>
      </c>
      <c r="AR10" s="160">
        <v>2</v>
      </c>
      <c r="AS10" s="349" t="s">
        <v>865</v>
      </c>
      <c r="AT10" s="197"/>
      <c r="AU10" s="205"/>
      <c r="AV10" s="197"/>
      <c r="AW10" s="205"/>
      <c r="AX10" s="197"/>
      <c r="AY10" s="130">
        <f t="shared" ref="AY10:BC10" si="0">IF(ISNUMBER(S10),S10," - ")</f>
        <v>141</v>
      </c>
      <c r="AZ10" s="131">
        <f t="shared" si="0"/>
        <v>70</v>
      </c>
      <c r="BA10" s="131">
        <f t="shared" si="0"/>
        <v>84</v>
      </c>
      <c r="BB10" s="131">
        <f t="shared" si="0"/>
        <v>127</v>
      </c>
      <c r="BC10" s="127">
        <f t="shared" si="0"/>
        <v>35</v>
      </c>
      <c r="BD10" s="128">
        <f>IF(ISNUMBER(BA10/AZ10),BA10/AZ10," - ")</f>
        <v>1.2</v>
      </c>
      <c r="BE10" s="129">
        <f>IF(ISNUMBER(BB10/BA10),BB10/BA10, " - ")</f>
        <v>1.5119047619047619</v>
      </c>
      <c r="BF10" s="129">
        <f>IF(ISNUMBER(BC10/BA10),BC10/BA10, " - ")</f>
        <v>0.41666666666666669</v>
      </c>
      <c r="BG10" s="201">
        <f>IF(ISNUMBER((AY10+AZ10)/BA10),(AY10+AZ10)/BA10," - ")</f>
        <v>2.5119047619047619</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710</v>
      </c>
      <c r="J11" s="188">
        <v>357</v>
      </c>
      <c r="K11" s="188">
        <v>256</v>
      </c>
      <c r="L11" s="188">
        <v>809</v>
      </c>
      <c r="M11" s="188">
        <v>84</v>
      </c>
      <c r="N11" s="188">
        <v>313</v>
      </c>
      <c r="O11" s="186">
        <v>82</v>
      </c>
      <c r="P11" s="188">
        <v>43</v>
      </c>
      <c r="Q11" s="188">
        <v>94</v>
      </c>
      <c r="R11" s="188">
        <v>1472</v>
      </c>
      <c r="S11" s="188">
        <v>615</v>
      </c>
      <c r="T11" s="188">
        <v>450</v>
      </c>
      <c r="U11" s="188">
        <v>438</v>
      </c>
      <c r="V11" s="188">
        <v>639</v>
      </c>
      <c r="W11" s="188">
        <v>215</v>
      </c>
      <c r="X11" s="194">
        <v>269</v>
      </c>
      <c r="Y11" s="196">
        <v>108</v>
      </c>
      <c r="Z11" s="186">
        <v>203</v>
      </c>
      <c r="AA11" s="186">
        <v>172</v>
      </c>
      <c r="AB11" s="186">
        <v>139</v>
      </c>
      <c r="AC11" s="188">
        <v>0</v>
      </c>
      <c r="AD11" s="188">
        <v>0</v>
      </c>
      <c r="AE11" s="188">
        <v>0</v>
      </c>
      <c r="AF11" s="194">
        <v>0</v>
      </c>
      <c r="AG11" s="207">
        <v>60</v>
      </c>
      <c r="AH11" s="188">
        <v>228</v>
      </c>
      <c r="AI11" s="188">
        <v>201</v>
      </c>
      <c r="AJ11" s="208">
        <v>87</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675</v>
      </c>
      <c r="AZ11" s="129">
        <f t="shared" si="1"/>
        <v>678</v>
      </c>
      <c r="BA11" s="129">
        <f t="shared" si="1"/>
        <v>639</v>
      </c>
      <c r="BB11" s="129">
        <f t="shared" si="1"/>
        <v>726</v>
      </c>
      <c r="BC11" s="127">
        <f>IF(ISNUMBER(X11),X11," - ")</f>
        <v>269</v>
      </c>
      <c r="BD11" s="128">
        <f t="shared" ref="BD11:BD13" si="2">IF(ISNUMBER(BA11/AZ11),BA11/AZ11," - ")</f>
        <v>0.94247787610619471</v>
      </c>
      <c r="BE11" s="129">
        <f t="shared" ref="BE11:BE13" si="3">IF(ISNUMBER(BB11/BA11),BB11/BA11, " - ")</f>
        <v>1.136150234741784</v>
      </c>
      <c r="BF11" s="129">
        <f t="shared" ref="BF11:BF13" si="4">IF(ISNUMBER(BC11/BA11),BC11/BA11, " - ")</f>
        <v>0.4209702660406886</v>
      </c>
      <c r="BG11" s="201">
        <f t="shared" ref="BG11:BG13" si="5">IF(ISNUMBER((AY11+AZ11)/BA11),(AY11+AZ11)/BA11," - ")</f>
        <v>2.1173708920187795</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10678</v>
      </c>
      <c r="J14" s="189">
        <f t="shared" si="7"/>
        <v>2361</v>
      </c>
      <c r="K14" s="189">
        <f t="shared" si="7"/>
        <v>2847</v>
      </c>
      <c r="L14" s="189">
        <f t="shared" si="7"/>
        <v>10238</v>
      </c>
      <c r="M14" s="189">
        <f t="shared" si="7"/>
        <v>649</v>
      </c>
      <c r="N14" s="189">
        <f t="shared" si="7"/>
        <v>1443</v>
      </c>
      <c r="O14" s="189">
        <f t="shared" si="7"/>
        <v>1239</v>
      </c>
      <c r="P14" s="189">
        <f t="shared" si="7"/>
        <v>554</v>
      </c>
      <c r="Q14" s="189">
        <f t="shared" si="7"/>
        <v>734</v>
      </c>
      <c r="R14" s="189">
        <f t="shared" si="7"/>
        <v>14220</v>
      </c>
      <c r="S14" s="189">
        <f t="shared" si="7"/>
        <v>8288</v>
      </c>
      <c r="T14" s="189">
        <f t="shared" si="7"/>
        <v>3769</v>
      </c>
      <c r="U14" s="189">
        <f t="shared" si="7"/>
        <v>3265</v>
      </c>
      <c r="V14" s="189">
        <f t="shared" si="7"/>
        <v>9077</v>
      </c>
      <c r="W14" s="189">
        <f t="shared" si="7"/>
        <v>802</v>
      </c>
      <c r="X14" s="189">
        <f t="shared" si="7"/>
        <v>1421</v>
      </c>
      <c r="Y14" s="189">
        <f t="shared" si="7"/>
        <v>324</v>
      </c>
      <c r="Z14" s="189">
        <f t="shared" si="7"/>
        <v>262</v>
      </c>
      <c r="AA14" s="189">
        <f t="shared" si="7"/>
        <v>274</v>
      </c>
      <c r="AB14" s="189">
        <f t="shared" si="7"/>
        <v>315</v>
      </c>
      <c r="AC14" s="189">
        <f t="shared" si="7"/>
        <v>0</v>
      </c>
      <c r="AD14" s="189">
        <f t="shared" si="7"/>
        <v>0</v>
      </c>
      <c r="AE14" s="189">
        <f t="shared" si="7"/>
        <v>0</v>
      </c>
      <c r="AF14" s="189">
        <f>SUBTOTAL(9,AF9:AF13)</f>
        <v>0</v>
      </c>
      <c r="AG14" s="189">
        <f t="shared" ref="AG14:AT14" si="8">SUBTOTAL(9,AG8:AG13)</f>
        <v>264</v>
      </c>
      <c r="AH14" s="189">
        <f t="shared" si="8"/>
        <v>397</v>
      </c>
      <c r="AI14" s="189">
        <f t="shared" si="8"/>
        <v>367</v>
      </c>
      <c r="AJ14" s="189">
        <f t="shared" si="8"/>
        <v>299</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8552</v>
      </c>
      <c r="AZ14" s="189">
        <f>SUBTOTAL(9,AZ8:AZ13)</f>
        <v>4166</v>
      </c>
      <c r="BA14" s="189">
        <f>SUBTOTAL(9,BA8:BA13)</f>
        <v>3632</v>
      </c>
      <c r="BB14" s="189">
        <f>SUBTOTAL(9,BB8:BB13)</f>
        <v>9376</v>
      </c>
      <c r="BC14" s="189">
        <f>SUBTOTAL(9,BC8:BC13)</f>
        <v>1416</v>
      </c>
      <c r="BD14" s="210">
        <f>IF(ISNUMBER(BA14/AZ14),BA14/AZ14," - ")</f>
        <v>0.87181949111857893</v>
      </c>
      <c r="BE14" s="211">
        <f>IF(ISNUMBER(BB14/BA14),BB14/BA14, " - ")</f>
        <v>2.5814977973568283</v>
      </c>
      <c r="BF14" s="211">
        <f>IF(ISNUMBER(BC14/BA14),BC14/BA14, " - ")</f>
        <v>0.38986784140969161</v>
      </c>
      <c r="BG14" s="212">
        <f>IF(ISNUMBER((AY14+AZ14)/BA14),(AY14+AZ14)/BA14," - ")</f>
        <v>3.5016519823788546</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2272</v>
      </c>
      <c r="J16" s="188">
        <v>2720</v>
      </c>
      <c r="K16" s="188">
        <v>2496</v>
      </c>
      <c r="L16" s="188">
        <v>2554</v>
      </c>
      <c r="M16" s="188">
        <v>451</v>
      </c>
      <c r="N16" s="188">
        <v>1234</v>
      </c>
      <c r="O16" s="186">
        <v>76</v>
      </c>
      <c r="P16" s="188">
        <v>173</v>
      </c>
      <c r="Q16" s="188">
        <v>136</v>
      </c>
      <c r="R16" s="188">
        <v>494</v>
      </c>
      <c r="S16" s="188">
        <v>1951</v>
      </c>
      <c r="T16" s="188">
        <v>2748</v>
      </c>
      <c r="U16" s="188">
        <v>2971</v>
      </c>
      <c r="V16" s="188">
        <v>1773</v>
      </c>
      <c r="W16" s="188">
        <v>525</v>
      </c>
      <c r="X16" s="194">
        <v>1323</v>
      </c>
      <c r="Y16" s="207">
        <v>0</v>
      </c>
      <c r="Z16" s="188">
        <v>0</v>
      </c>
      <c r="AA16" s="188">
        <v>0</v>
      </c>
      <c r="AB16" s="188">
        <v>0</v>
      </c>
      <c r="AC16" s="188">
        <v>0</v>
      </c>
      <c r="AD16" s="188">
        <v>0</v>
      </c>
      <c r="AE16" s="188">
        <v>0</v>
      </c>
      <c r="AF16" s="194">
        <v>0</v>
      </c>
      <c r="AG16" s="207">
        <v>0</v>
      </c>
      <c r="AH16" s="188">
        <v>0</v>
      </c>
      <c r="AI16" s="188">
        <v>0</v>
      </c>
      <c r="AJ16" s="208">
        <v>0</v>
      </c>
      <c r="AK16" s="187">
        <v>0</v>
      </c>
      <c r="AL16" s="188">
        <v>1</v>
      </c>
      <c r="AM16" s="188">
        <v>0</v>
      </c>
      <c r="AN16" s="194">
        <v>1</v>
      </c>
      <c r="AO16" s="264">
        <v>5</v>
      </c>
      <c r="AP16" s="160">
        <v>5</v>
      </c>
      <c r="AQ16" s="160">
        <v>5</v>
      </c>
      <c r="AR16" s="160">
        <v>5</v>
      </c>
      <c r="AS16" s="350" t="s">
        <v>588</v>
      </c>
      <c r="AT16" s="208" t="s">
        <v>360</v>
      </c>
      <c r="AU16" s="207"/>
      <c r="AV16" s="208"/>
      <c r="AW16" s="207"/>
      <c r="AX16" s="208"/>
      <c r="AY16" s="130">
        <f t="shared" ref="AY16:BB17" si="10">IF(ISNUMBER(IF(D_I="SI",S16,S16+AK16)),IF(D_I="SI",S16,S16+AK16)," - ")</f>
        <v>1951</v>
      </c>
      <c r="AZ16" s="131">
        <f t="shared" si="10"/>
        <v>2748</v>
      </c>
      <c r="BA16" s="131">
        <f t="shared" si="10"/>
        <v>2971</v>
      </c>
      <c r="BB16" s="131">
        <f t="shared" si="10"/>
        <v>1773</v>
      </c>
      <c r="BC16" s="127">
        <f>IF(ISNUMBER(W16),W16," - ")</f>
        <v>525</v>
      </c>
      <c r="BD16" s="128">
        <f>IF(ISNUMBER(BA16/AZ16),BA16/AZ16," - ")</f>
        <v>1.0811499272197962</v>
      </c>
      <c r="BE16" s="129">
        <f>IF(ISNUMBER(BB16/BA16),BB16/BA16, " - ")</f>
        <v>0.59676876472568163</v>
      </c>
      <c r="BF16" s="129">
        <f>IF(ISNUMBER(BC16/BA16),BC16/BA16, " - ")</f>
        <v>0.17670817906428812</v>
      </c>
      <c r="BG16" s="201">
        <f t="shared" ref="BG16:BG19" si="11">IF(ISNUMBER((AY16+AZ16)/BA16),(AY16+AZ16)/BA16," - ")</f>
        <v>1.5816223493773141</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278</v>
      </c>
      <c r="J18" s="188">
        <v>494</v>
      </c>
      <c r="K18" s="188">
        <v>404</v>
      </c>
      <c r="L18" s="188">
        <v>368</v>
      </c>
      <c r="M18" s="188">
        <v>77</v>
      </c>
      <c r="N18" s="188">
        <v>315</v>
      </c>
      <c r="O18" s="188">
        <v>0</v>
      </c>
      <c r="P18" s="188">
        <v>3</v>
      </c>
      <c r="Q18" s="188">
        <v>0</v>
      </c>
      <c r="R18" s="188">
        <v>32</v>
      </c>
      <c r="S18" s="188">
        <v>203</v>
      </c>
      <c r="T18" s="188">
        <v>384</v>
      </c>
      <c r="U18" s="188">
        <v>409</v>
      </c>
      <c r="V18" s="188">
        <v>178</v>
      </c>
      <c r="W18" s="188">
        <v>65</v>
      </c>
      <c r="X18" s="194">
        <v>213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2</v>
      </c>
      <c r="AQ18" s="159">
        <v>2</v>
      </c>
      <c r="AR18" s="160">
        <v>2</v>
      </c>
      <c r="AS18" s="349" t="s">
        <v>864</v>
      </c>
      <c r="AT18" s="214"/>
      <c r="AU18" s="205"/>
      <c r="AV18" s="214"/>
      <c r="AW18" s="205"/>
      <c r="AX18" s="214"/>
      <c r="AY18" s="130">
        <f t="shared" ref="AY18:BB19" si="15">IF(ISNUMBER(S18),S18," - ")</f>
        <v>203</v>
      </c>
      <c r="AZ18" s="131">
        <f t="shared" si="15"/>
        <v>384</v>
      </c>
      <c r="BA18" s="131">
        <f t="shared" si="15"/>
        <v>409</v>
      </c>
      <c r="BB18" s="131">
        <f t="shared" si="15"/>
        <v>178</v>
      </c>
      <c r="BC18" s="127">
        <f>IF(ISNUMBER(W18),W18," - ")</f>
        <v>65</v>
      </c>
      <c r="BD18" s="128">
        <f>IF(ISNUMBER(BA18/AZ18),BA18/AZ18," - ")</f>
        <v>1.0651041666666667</v>
      </c>
      <c r="BE18" s="129">
        <f>IF(ISNUMBER(BB18/BA18),BB18/BA18, " - ")</f>
        <v>0.4352078239608802</v>
      </c>
      <c r="BF18" s="129">
        <f>IF(ISNUMBER(BC18/BA18),BC18/BA18, " - ")</f>
        <v>0.15892420537897312</v>
      </c>
      <c r="BG18" s="201">
        <f>IF(ISNUMBER((AY18+AZ18)/BA18),(AY18+AZ18)/BA18," - ")</f>
        <v>1.4352078239608801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2550</v>
      </c>
      <c r="J20" s="189">
        <f t="shared" si="16"/>
        <v>3214</v>
      </c>
      <c r="K20" s="189">
        <f t="shared" si="16"/>
        <v>2900</v>
      </c>
      <c r="L20" s="189">
        <f t="shared" si="16"/>
        <v>2922</v>
      </c>
      <c r="M20" s="189">
        <f t="shared" si="16"/>
        <v>528</v>
      </c>
      <c r="N20" s="189">
        <f t="shared" si="16"/>
        <v>1549</v>
      </c>
      <c r="O20" s="189">
        <f t="shared" si="16"/>
        <v>76</v>
      </c>
      <c r="P20" s="189">
        <f t="shared" si="16"/>
        <v>176</v>
      </c>
      <c r="Q20" s="189">
        <f t="shared" si="16"/>
        <v>136</v>
      </c>
      <c r="R20" s="189">
        <f t="shared" si="16"/>
        <v>526</v>
      </c>
      <c r="S20" s="189">
        <f t="shared" si="16"/>
        <v>2154</v>
      </c>
      <c r="T20" s="189">
        <f t="shared" si="16"/>
        <v>3132</v>
      </c>
      <c r="U20" s="189">
        <f t="shared" si="16"/>
        <v>3380</v>
      </c>
      <c r="V20" s="189">
        <f t="shared" si="16"/>
        <v>1951</v>
      </c>
      <c r="W20" s="189">
        <f t="shared" si="16"/>
        <v>590</v>
      </c>
      <c r="X20" s="189">
        <f t="shared" si="16"/>
        <v>1536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0</v>
      </c>
      <c r="AN20" s="189">
        <f t="shared" si="16"/>
        <v>1</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2154</v>
      </c>
      <c r="AZ20" s="189">
        <f>SUBTOTAL(9,AZ15:AZ19)</f>
        <v>3132</v>
      </c>
      <c r="BA20" s="189">
        <f>SUBTOTAL(9,BA15:BA19)</f>
        <v>3380</v>
      </c>
      <c r="BB20" s="189">
        <f>SUBTOTAL(9,BB15:BB19)</f>
        <v>1951</v>
      </c>
      <c r="BC20" s="189">
        <f>SUBTOTAL(9,BC15:BC19)</f>
        <v>590</v>
      </c>
      <c r="BD20" s="210">
        <f>IF(ISNUMBER(BA20/AZ20),BA20/AZ20," - ")</f>
        <v>1.0791826309067689</v>
      </c>
      <c r="BE20" s="211">
        <f>IF(ISNUMBER(BB20/BA20),BB20/BA20, " - ")</f>
        <v>0.57721893491124265</v>
      </c>
      <c r="BF20" s="211">
        <f>IF(ISNUMBER(BC20/BA20),BC20/BA20, " - ")</f>
        <v>0.17455621301775148</v>
      </c>
      <c r="BG20" s="212">
        <f>IF(ISNUMBER((AY20+AZ20)/BA20),(AY20+AZ20)/BA20," - ")</f>
        <v>1.5639053254437869</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13228</v>
      </c>
      <c r="J21" s="136">
        <f t="shared" si="19"/>
        <v>5575</v>
      </c>
      <c r="K21" s="136">
        <f t="shared" si="19"/>
        <v>5747</v>
      </c>
      <c r="L21" s="136">
        <f t="shared" si="19"/>
        <v>13160</v>
      </c>
      <c r="M21" s="136">
        <f t="shared" si="19"/>
        <v>1177</v>
      </c>
      <c r="N21" s="136">
        <f t="shared" si="19"/>
        <v>2992</v>
      </c>
      <c r="O21" s="136">
        <f t="shared" si="19"/>
        <v>1315</v>
      </c>
      <c r="P21" s="136">
        <f t="shared" si="19"/>
        <v>730</v>
      </c>
      <c r="Q21" s="136">
        <f t="shared" si="19"/>
        <v>870</v>
      </c>
      <c r="R21" s="136">
        <f t="shared" si="19"/>
        <v>14746</v>
      </c>
      <c r="S21" s="136">
        <f t="shared" si="19"/>
        <v>10442</v>
      </c>
      <c r="T21" s="136">
        <f t="shared" si="19"/>
        <v>6901</v>
      </c>
      <c r="U21" s="136">
        <f t="shared" si="19"/>
        <v>6645</v>
      </c>
      <c r="V21" s="136">
        <f t="shared" si="19"/>
        <v>11028</v>
      </c>
      <c r="W21" s="136">
        <f t="shared" si="19"/>
        <v>1392</v>
      </c>
      <c r="X21" s="136">
        <f t="shared" si="19"/>
        <v>2957</v>
      </c>
      <c r="Y21" s="136">
        <f t="shared" si="19"/>
        <v>324</v>
      </c>
      <c r="Z21" s="136">
        <f t="shared" si="19"/>
        <v>262</v>
      </c>
      <c r="AA21" s="136">
        <f t="shared" si="19"/>
        <v>274</v>
      </c>
      <c r="AB21" s="136">
        <f t="shared" si="19"/>
        <v>315</v>
      </c>
      <c r="AC21" s="136">
        <f t="shared" si="19"/>
        <v>0</v>
      </c>
      <c r="AD21" s="136">
        <f t="shared" si="19"/>
        <v>0</v>
      </c>
      <c r="AE21" s="136">
        <f t="shared" si="19"/>
        <v>0</v>
      </c>
      <c r="AF21" s="136">
        <f t="shared" si="19"/>
        <v>0</v>
      </c>
      <c r="AG21" s="136">
        <f t="shared" si="19"/>
        <v>264</v>
      </c>
      <c r="AH21" s="136">
        <f t="shared" si="19"/>
        <v>397</v>
      </c>
      <c r="AI21" s="136">
        <f t="shared" si="19"/>
        <v>367</v>
      </c>
      <c r="AJ21" s="136">
        <f t="shared" si="19"/>
        <v>299</v>
      </c>
      <c r="AK21" s="136">
        <f t="shared" si="19"/>
        <v>0</v>
      </c>
      <c r="AL21" s="136">
        <f t="shared" si="19"/>
        <v>1</v>
      </c>
      <c r="AM21" s="136">
        <f t="shared" si="19"/>
        <v>0</v>
      </c>
      <c r="AN21" s="215">
        <f t="shared" si="19"/>
        <v>1</v>
      </c>
      <c r="AO21" s="216">
        <v>15</v>
      </c>
      <c r="AP21" s="216">
        <v>15</v>
      </c>
      <c r="AQ21" s="216">
        <v>15</v>
      </c>
      <c r="AR21" s="216">
        <v>15</v>
      </c>
      <c r="AS21" s="158">
        <f t="shared" si="19"/>
        <v>0</v>
      </c>
      <c r="AT21" s="158">
        <f t="shared" si="19"/>
        <v>0</v>
      </c>
      <c r="AU21" s="216"/>
      <c r="AV21" s="217"/>
      <c r="AW21" s="216"/>
      <c r="AX21" s="217"/>
      <c r="AY21" s="135">
        <f>SUBTOTAL(9,AY9:AY20)</f>
        <v>10706</v>
      </c>
      <c r="AZ21" s="136">
        <f>SUBTOTAL(9,AZ9:AZ20)</f>
        <v>7298</v>
      </c>
      <c r="BA21" s="136">
        <f>SUBTOTAL(9,BA9:BA20)</f>
        <v>7012</v>
      </c>
      <c r="BB21" s="136">
        <f>SUBTOTAL(9,BB9:BB20)</f>
        <v>11327</v>
      </c>
      <c r="BC21" s="137">
        <f>SUBTOTAL(9,BC9:BC20)</f>
        <v>2006</v>
      </c>
      <c r="BD21" s="218">
        <f>IF(ISNUMBER(BA21/AZ21),BA21/AZ21," - ")</f>
        <v>0.96081118114551933</v>
      </c>
      <c r="BE21" s="215">
        <f>IF(ISNUMBER(BB21/BA21),BB21/BA21, " - ")</f>
        <v>1.6153736451796921</v>
      </c>
      <c r="BF21" s="215">
        <f>IF(ISNUMBER(BC21/BA21),BC21/BA21, " - ")</f>
        <v>0.28608100399315461</v>
      </c>
      <c r="BG21" s="137">
        <f>IF(ISNUMBER((AY21+AZ21)/BA21),(AY21+AZ21)/BA21," - ")</f>
        <v>2.5675984027381631</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GmJA2Nf+4LpKF18LVk3zaQ/bnRV7jWkaIP0fhEvMBBFyhqiwsRnTumPW2GeajAn3bniF37A8+HpiaRiDlzkUQ==" saltValue="OUiuznNJEMl9WhzHhnJr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AF2oDHNjtm+9HlfjLRSTlyD2L32/HjKnoG8z8YDmHFHN81ziwQOnyi0lrfThIrUTmvMn6sLrnLoZya2CJ/BHA==" saltValue="EKEt5xSE3V7yKzFeAD0X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ELCHE-ELX</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59</v>
      </c>
      <c r="O9" s="504"/>
      <c r="P9" s="504"/>
      <c r="Q9" s="502">
        <f>IF(ISNUMBER(Datos!P9),Datos!P9,0)</f>
        <v>488</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632</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176</v>
      </c>
      <c r="AI9" s="504" t="str">
        <f>IF(ISNUMBER(Datos!CD9),Datos!CD9,"-")</f>
        <v>-</v>
      </c>
      <c r="AJ9" s="504" t="str">
        <f>IF(ISNUMBER(Datos!EN9),Datos!EN9," - ")</f>
        <v xml:space="preserve"> - </v>
      </c>
      <c r="AK9" s="504"/>
      <c r="AL9" s="505"/>
      <c r="AM9" s="672">
        <f>IF(ISNUMBER(Datos!R9),Datos!R9," - ")</f>
        <v>12567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549</v>
      </c>
      <c r="BD9" s="620">
        <f>IF(ISNUMBER(Datos!N9),Datos!N9," - ")</f>
        <v>1119</v>
      </c>
      <c r="BE9" s="620" t="str">
        <f>IF(ISNUMBER(Datos!BW9),Datos!BW9," - ")</f>
        <v xml:space="preserve"> - </v>
      </c>
      <c r="BF9" s="668" t="str">
        <f>IF(ISNUMBER(Datos!BX9),Datos!BX9," - ")</f>
        <v xml:space="preserve"> - </v>
      </c>
      <c r="BG9" s="669">
        <f>IF(ISNUMBER(IF(J_V="SI",Datos!K9/Datos!J9,(Datos!K9+Datos!AA9)/(Datos!J9+Datos!Z9))),IF(J_V="SI",Datos!K9/Datos!J9,(Datos!K9+Datos!AA9)/(Datos!J9+Datos!Z9))," - ")</f>
        <v>1.3227091633466135</v>
      </c>
      <c r="BH9" s="670">
        <f>IF(ISNUMBER(((IF(J_V="SI",Datos!L9/Datos!K9,(Datos!L9+Datos!AB9)/(Datos!K9+Datos!AA9)))*11)/factor_trimestre),((IF(J_V="SI",Datos!L9/Datos!K9,(Datos!L9+Datos!AB9)/(Datos!K9+Datos!AA9)))*11)/factor_trimestre," - ")</f>
        <v>10.70331325301205</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-1.1328770356384235E-2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2</v>
      </c>
      <c r="F10" s="507">
        <f>IF(ISNUMBER(Datos!L10+Datos!K10-Datos!J10),Datos!L10+Datos!K10-Datos!J10," - ")</f>
        <v>111</v>
      </c>
      <c r="G10" s="498">
        <f>IF(ISNUMBER(Datos!I10),Datos!I10," - ")</f>
        <v>111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37</v>
      </c>
      <c r="AC10" s="502">
        <f>IF(ISNUMBER(Datos!Q10),Datos!Q10," - ")</f>
        <v>8</v>
      </c>
      <c r="AD10" s="504"/>
      <c r="AE10" s="517"/>
      <c r="AF10" s="506">
        <f>IF(ISNUMBER(Datos!L10),Datos!L10,"-")</f>
        <v>129</v>
      </c>
      <c r="AG10" s="504"/>
      <c r="AH10" s="504"/>
      <c r="AI10" s="504"/>
      <c r="AJ10" s="504"/>
      <c r="AK10" s="504"/>
      <c r="AL10" s="505"/>
      <c r="AM10" s="672">
        <f>IF(ISNUMBER(Datos!R10),Datos!R10," - ")</f>
        <v>181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16</v>
      </c>
      <c r="BD10" s="620">
        <f>IF(ISNUMBER(Datos!N10),Datos!N10," - ")</f>
        <v>11</v>
      </c>
      <c r="BE10" s="620" t="str">
        <f>IF(ISNUMBER(Datos!BW10),Datos!BW10," - ")</f>
        <v xml:space="preserve"> - </v>
      </c>
      <c r="BF10" s="668" t="str">
        <f>IF(ISNUMBER(Datos!BX10),Datos!BX10," - ")</f>
        <v xml:space="preserve"> - </v>
      </c>
      <c r="BG10" s="669">
        <f>IF(ISNUMBER(Datos!K10/Datos!J10),Datos!K10/Datos!J10," - ")</f>
        <v>0.67272727272727273</v>
      </c>
      <c r="BH10" s="670">
        <f>IF(ISNUMBER(((Datos!L10/Datos!K10)*11)/factor_trimestre),((Datos!L10/Datos!K10)*11)/factor_trimestre," - ")</f>
        <v>10.45945945945946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9.036144578313253E-2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203</v>
      </c>
      <c r="O11" s="504"/>
      <c r="P11" s="504"/>
      <c r="Q11" s="502">
        <f>IF(ISNUMBER(Datos!P11),Datos!P11,0)</f>
        <v>43</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94</v>
      </c>
      <c r="AD11" s="504"/>
      <c r="AE11" s="517"/>
      <c r="AF11" s="506" t="str">
        <f>IF(ISNUMBER(IF(J_V="SI",Datos!L11,Datos!L11+Datos!AB11)-IF(Monitorios="SI",Datos!CD11,0)),
                          IF(J_V="SI",Datos!L11,Datos!L11+Datos!AB11)-IF(Monitorios="SI",Datos!CD11,0),
                          " - ")</f>
        <v xml:space="preserve"> - </v>
      </c>
      <c r="AG11" s="504"/>
      <c r="AH11" s="504">
        <f>IF(ISNUMBER(Datos!AB11),Datos!AB11,"-")</f>
        <v>139</v>
      </c>
      <c r="AI11" s="504"/>
      <c r="AJ11" s="504"/>
      <c r="AK11" s="504"/>
      <c r="AL11" s="505"/>
      <c r="AM11" s="672">
        <f>IF(ISNUMBER(Datos!R11),Datos!R11," - ")</f>
        <v>1472</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84</v>
      </c>
      <c r="BD11" s="620">
        <f>IF(ISNUMBER(Datos!N11),Datos!N11," - ")</f>
        <v>313</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0.76428571428571423</v>
      </c>
      <c r="BH11" s="670">
        <f>IF(ISNUMBER(((IF(J_V="SI",Datos!L11/Datos!K11,(Datos!L11+Datos!AB11)/(Datos!K11+Datos!AA11)))*11)/factor_trimestre),((IF(J_V="SI",Datos!L11/Datos!K11,(Datos!L11+Datos!AB11)/(Datos!K11+Datos!AA11)))*11)/factor_trimestre," - ")</f>
        <v>6.6448598130841114</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-3.3486539724228499E-2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111</v>
      </c>
      <c r="G14" s="1045">
        <f t="shared" si="1"/>
        <v>111</v>
      </c>
      <c r="H14" s="1046">
        <f t="shared" si="1"/>
        <v>0</v>
      </c>
      <c r="I14" s="1045">
        <f t="shared" si="1"/>
        <v>0</v>
      </c>
      <c r="J14" s="1014">
        <f t="shared" si="1"/>
        <v>0</v>
      </c>
      <c r="K14" s="1014">
        <f t="shared" si="1"/>
        <v>0</v>
      </c>
      <c r="L14" s="1046">
        <f t="shared" si="1"/>
        <v>0</v>
      </c>
      <c r="M14" s="1046">
        <f t="shared" si="1"/>
        <v>0</v>
      </c>
      <c r="N14" s="1046">
        <f t="shared" si="1"/>
        <v>262</v>
      </c>
      <c r="O14" s="1047">
        <f t="shared" si="1"/>
        <v>0</v>
      </c>
      <c r="P14" s="1047">
        <f t="shared" si="1"/>
        <v>0</v>
      </c>
      <c r="Q14" s="1046">
        <f t="shared" si="1"/>
        <v>554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37</v>
      </c>
      <c r="AC14" s="1046">
        <f t="shared" si="2"/>
        <v>734</v>
      </c>
      <c r="AD14" s="1046">
        <f t="shared" si="2"/>
        <v>0</v>
      </c>
      <c r="AE14" s="1046">
        <f t="shared" si="2"/>
        <v>0</v>
      </c>
      <c r="AF14" s="1046">
        <f t="shared" si="2"/>
        <v>129</v>
      </c>
      <c r="AG14" s="1046">
        <f t="shared" si="2"/>
        <v>0</v>
      </c>
      <c r="AH14" s="1046">
        <f t="shared" si="2"/>
        <v>315</v>
      </c>
      <c r="AI14" s="1046">
        <f t="shared" si="2"/>
        <v>0</v>
      </c>
      <c r="AJ14" s="1046">
        <f t="shared" si="2"/>
        <v>0</v>
      </c>
      <c r="AK14" s="1046">
        <f t="shared" si="2"/>
        <v>0</v>
      </c>
      <c r="AL14" s="1046">
        <f t="shared" si="2"/>
        <v>0</v>
      </c>
      <c r="AM14" s="1046">
        <f t="shared" si="2"/>
        <v>14220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649</v>
      </c>
      <c r="BD14" s="1046">
        <f t="shared" si="2"/>
        <v>1443</v>
      </c>
      <c r="BE14" s="1046">
        <f t="shared" si="2"/>
        <v>0</v>
      </c>
      <c r="BF14" s="1046">
        <f t="shared" si="2"/>
        <v>0</v>
      </c>
      <c r="BG14" s="1046">
        <f>IF(ISNUMBER(Datos!K14/Datos!J14),Datos!K14/Datos!J14," - ")</f>
        <v>1.2058449809402796</v>
      </c>
      <c r="BH14" s="1050">
        <f>IF(ISNUMBER(((Datos!L14/Datos!K14)*11)/factor_trimestre),((Datos!L14/Datos!K14)*11)/factor_trimestre," - ")</f>
        <v>10.788198103266597</v>
      </c>
      <c r="BI14" s="1046">
        <f>IF(ISNUMBER('Resol  Asuntos'!D14/NºAsuntos!G14),'Resol  Asuntos'!D14/NºAsuntos!G14," - ")</f>
        <v>0.20794617109900673</v>
      </c>
      <c r="BJ14" s="1046" t="str">
        <f>IF(ISNUMBER(Datos!CI14/Datos!CJ14),Datos!CI14/Datos!CJ14," - ")</f>
        <v xml:space="preserve"> - </v>
      </c>
      <c r="BK14" s="1046">
        <f>SUBTOTAL(9,BK8:BK13)</f>
        <v>0</v>
      </c>
      <c r="BL14" s="1046">
        <f>IF(ISNUMBER((I14-AB14+L14)/(F14)),(I14-AB14+L14)/(F14)," - ")</f>
        <v>-0.33333333333333331</v>
      </c>
      <c r="BM14" s="1051">
        <f>SUBTOTAL(9,BM9:BM13)</f>
        <v>4.5546135702519801E-2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2330</v>
      </c>
      <c r="G16" s="651">
        <f>IF(ISNUMBER(IF(D_I="SI",Datos!I16,Datos!I16+Datos!AC16)),IF(D_I="SI",Datos!I16,Datos!I16+Datos!AC16)," - ")</f>
        <v>2272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173</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2496</v>
      </c>
      <c r="AC16" s="231">
        <f>IF(ISNUMBER(Datos!Q16),Datos!Q16," - ")</f>
        <v>136</v>
      </c>
      <c r="AD16" s="344"/>
      <c r="AE16" s="516"/>
      <c r="AF16" s="649">
        <f>IF(ISNUMBER(IF(D_I="SI",Datos!L16,Datos!L16+Datos!AF16)),IF(D_I="SI",Datos!L16,Datos!L16+Datos!AF16)," - ")</f>
        <v>2554</v>
      </c>
      <c r="AG16" s="344"/>
      <c r="AH16" s="344"/>
      <c r="AI16" s="344"/>
      <c r="AJ16" s="504"/>
      <c r="AK16" s="344"/>
      <c r="AL16" s="500"/>
      <c r="AM16" s="345">
        <f>IF(ISNUMBER(Datos!R16),Datos!R16," - ")</f>
        <v>494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451</v>
      </c>
      <c r="BD16" s="234">
        <f>IF(ISNUMBER(Datos!N16),Datos!N16," - ")</f>
        <v>1234</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0.91764705882352937</v>
      </c>
      <c r="BH16" s="670">
        <f>IF(ISNUMBER(((IF(D_I="SI",Datos!L16/Datos!K16,(Datos!L16+Datos!AF16)/(Datos!K16+Datos!AE16)))*11)/factor_trimestre),((IF(D_I="SI",Datos!L16/Datos!K16,(Datos!L16+Datos!AF16)/(Datos!K16+Datos!AE16)))*11)/factor_trimestre," - ")</f>
        <v>3.0697115384615388</v>
      </c>
      <c r="BI16" s="248">
        <f>IF(ISNUMBER('Resol  Asuntos'!D16/NºAsuntos!G16),'Resol  Asuntos'!D16/NºAsuntos!G16," - ")</f>
        <v>0.18068910256410256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2</v>
      </c>
      <c r="F18" s="507" t="str">
        <f>IF(ISNUMBER(AF18+AB18-I18-L18),AF18+AB18-I18-L18," - ")</f>
        <v xml:space="preserve"> - </v>
      </c>
      <c r="G18" s="498">
        <f>IF(ISNUMBER(IF(D_I="SI",Datos!I18,Datos!I18+Datos!AC18)),IF(D_I="SI",Datos!I18,Datos!I18+Datos!AC18)," - ")</f>
        <v>278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404</v>
      </c>
      <c r="AC18" s="502">
        <f>IF(ISNUMBER(Datos!Q18),Datos!Q18," - ")</f>
        <v>0</v>
      </c>
      <c r="AD18" s="504"/>
      <c r="AE18" s="516"/>
      <c r="AF18" s="506">
        <f>IF(ISNUMBER(Datos!L18),Datos!L18,"-")</f>
        <v>368</v>
      </c>
      <c r="AG18" s="504"/>
      <c r="AH18" s="504"/>
      <c r="AI18" s="504"/>
      <c r="AJ18" s="504"/>
      <c r="AK18" s="504"/>
      <c r="AL18" s="505"/>
      <c r="AM18" s="672">
        <f>IF(ISNUMBER(Datos!R18),Datos!R18," - ")</f>
        <v>32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77</v>
      </c>
      <c r="BD18" s="620">
        <f>IF(ISNUMBER(Datos!N18),Datos!N18," - ")</f>
        <v>315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0.81781376518218618</v>
      </c>
      <c r="BH18" s="670">
        <f>IF(ISNUMBER(((IF(D_I="SI",Datos!L18/Datos!K18,(Datos!L18+Datos!AF18)/(Datos!K18+Datos!AE18)))*11)/factor_trimestre),((IF(D_I="SI",Datos!L18/Datos!K18,(Datos!L18+Datos!AF18)/(Datos!K18+Datos!AE18)))*11)/factor_trimestre," - ")</f>
        <v>2.7326732673267329</v>
      </c>
      <c r="BI18" s="669">
        <f>IF(ISNUMBER('Resol  Asuntos'!D18/NºAsuntos!G18),'Resol  Asuntos'!D18/NºAsuntos!G18," - ")</f>
        <v>0.1905940594059406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2330</v>
      </c>
      <c r="G20" s="1045">
        <f>SUBTOTAL(9,G16:G19)</f>
        <v>2550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2900</v>
      </c>
      <c r="AC20" s="1046">
        <f t="shared" si="5"/>
        <v>136</v>
      </c>
      <c r="AD20" s="1046">
        <f t="shared" si="5"/>
        <v>0</v>
      </c>
      <c r="AE20" s="1046">
        <f t="shared" si="5"/>
        <v>0</v>
      </c>
      <c r="AF20" s="1046">
        <f t="shared" si="5"/>
        <v>2922</v>
      </c>
      <c r="AG20" s="1046">
        <f t="shared" si="5"/>
        <v>0</v>
      </c>
      <c r="AH20" s="1046">
        <f t="shared" si="5"/>
        <v>0</v>
      </c>
      <c r="AI20" s="1046">
        <f t="shared" si="5"/>
        <v>0</v>
      </c>
      <c r="AJ20" s="1046">
        <f t="shared" si="5"/>
        <v>0</v>
      </c>
      <c r="AK20" s="1046">
        <f t="shared" si="5"/>
        <v>0</v>
      </c>
      <c r="AL20" s="1046">
        <f t="shared" si="5"/>
        <v>0</v>
      </c>
      <c r="AM20" s="1046">
        <f t="shared" si="5"/>
        <v>526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528</v>
      </c>
      <c r="BD20" s="1046">
        <f t="shared" si="5"/>
        <v>1549</v>
      </c>
      <c r="BE20" s="1046">
        <f t="shared" si="5"/>
        <v>0</v>
      </c>
      <c r="BF20" s="1046">
        <f t="shared" si="5"/>
        <v>0</v>
      </c>
      <c r="BG20" s="1046">
        <f>IF(ISNUMBER(Datos!K20/Datos!J20),Datos!K20/Datos!J20," - ")</f>
        <v>0.9023024268823896</v>
      </c>
      <c r="BH20" s="1050">
        <f>IF(ISNUMBER(((Datos!L20/Datos!K20)*11)/factor_trimestre),((Datos!L20/Datos!K20)*11)/factor_trimestre," - ")</f>
        <v>3.0227586206896557</v>
      </c>
      <c r="BI20" s="1046">
        <f>SUBTOTAL(9,BI16:BI19)</f>
        <v>0.37128316197004319</v>
      </c>
      <c r="BJ20" s="1046">
        <f>SUBTOTAL(9,BJ16:BJ19)</f>
        <v>0</v>
      </c>
      <c r="BK20" s="1046">
        <f>SUBTOTAL(9,BK16:BK19)</f>
        <v>0</v>
      </c>
      <c r="BL20" s="1046">
        <f>IF(ISNUMBER((I20-AB20+L20)/(F20)),(I20-AB20+L20)/(F20)," - ")</f>
        <v>-1.2446351931330473</v>
      </c>
      <c r="BM20" s="1052">
        <f>IF(ISNUMBER((Datos!P20-Datos!Q20)/(Datos!R20-Datos!P20+Datos!Q20)),(Datos!P20-Datos!Q20)/(Datos!R20-Datos!P20+Datos!Q20)," - ")</f>
        <v>8.2304526748971193E-2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17</v>
      </c>
      <c r="F21" s="967">
        <f t="shared" si="7"/>
        <v>2441</v>
      </c>
      <c r="G21" s="967">
        <f t="shared" si="7"/>
        <v>2661</v>
      </c>
      <c r="H21" s="969">
        <f t="shared" si="7"/>
        <v>0</v>
      </c>
      <c r="I21" s="967">
        <f t="shared" si="7"/>
        <v>0</v>
      </c>
      <c r="J21" s="969">
        <f t="shared" si="7"/>
        <v>0</v>
      </c>
      <c r="K21" s="969">
        <f t="shared" si="7"/>
        <v>0</v>
      </c>
      <c r="L21" s="1028">
        <f t="shared" si="7"/>
        <v>0</v>
      </c>
      <c r="M21" s="1028">
        <f t="shared" si="7"/>
        <v>0</v>
      </c>
      <c r="N21" s="1028">
        <f t="shared" si="7"/>
        <v>262</v>
      </c>
      <c r="O21" s="1028">
        <f t="shared" si="7"/>
        <v>0</v>
      </c>
      <c r="P21" s="1028">
        <f t="shared" si="7"/>
        <v>0</v>
      </c>
      <c r="Q21" s="969">
        <f t="shared" si="7"/>
        <v>730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2937</v>
      </c>
      <c r="AC21" s="968">
        <f t="shared" si="8"/>
        <v>870</v>
      </c>
      <c r="AD21" s="968">
        <f t="shared" si="8"/>
        <v>0</v>
      </c>
      <c r="AE21" s="968">
        <f t="shared" si="8"/>
        <v>0</v>
      </c>
      <c r="AF21" s="975">
        <f t="shared" si="8"/>
        <v>3051</v>
      </c>
      <c r="AG21" s="975">
        <f t="shared" si="8"/>
        <v>0</v>
      </c>
      <c r="AH21" s="975">
        <f t="shared" si="8"/>
        <v>315</v>
      </c>
      <c r="AI21" s="975">
        <f t="shared" si="8"/>
        <v>0</v>
      </c>
      <c r="AJ21" s="968">
        <f t="shared" si="8"/>
        <v>0</v>
      </c>
      <c r="AK21" s="975">
        <f t="shared" si="8"/>
        <v>0</v>
      </c>
      <c r="AL21" s="975">
        <f t="shared" si="8"/>
        <v>0</v>
      </c>
      <c r="AM21" s="975">
        <f t="shared" si="8"/>
        <v>14746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1177</v>
      </c>
      <c r="BD21" s="967">
        <f t="shared" si="8"/>
        <v>2992</v>
      </c>
      <c r="BE21" s="967">
        <f t="shared" si="8"/>
        <v>0</v>
      </c>
      <c r="BF21" s="977">
        <f t="shared" si="8"/>
        <v>0</v>
      </c>
      <c r="BG21" s="1062">
        <f>IF(ISNUMBER(Datos!K21/Datos!J21),Datos!K21/Datos!J21," - ")</f>
        <v>1.0308520179372198</v>
      </c>
      <c r="BH21" s="1062">
        <f>IF(ISNUMBER(((Datos!L21/Datos!K21)*11)/factor_trimestre),((Datos!L21/Datos!K21)*11)/factor_trimestre," - ")</f>
        <v>6.8696711327649211</v>
      </c>
      <c r="BI21" s="960">
        <f>IF(ISNUMBER(Datos!J21/Datos!I21),Datos!J21/Datos!I21," - ")</f>
        <v>0.42145449047475053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-1.2031954117165096</v>
      </c>
      <c r="BM21" s="1036">
        <f>IF(ISNUMBER((Datos!P21-Datos!Q21+R21)/(Datos!R21-Datos!P21+Datos!Q21-R21)),(Datos!P21-Datos!Q21+R21)/(Datos!R21-Datos!P21+Datos!Q21-R21)," - ")</f>
        <v>-9.4048098884858249E-3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1064.4000000000001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3.4191971412758715</v>
      </c>
      <c r="F23" s="600">
        <f>IF(ISNUMBER(STDEV(F8:F20)),STDEV(F8:F20),"-")</f>
        <v>1281.1402473317796</v>
      </c>
      <c r="G23" s="601">
        <f>IF(ISNUMBER(STDEV(G8:G20)),STDEV(G8:G20),"-")</f>
        <v>1235.078256629919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1405.8089130461508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266.58689282965776</v>
      </c>
      <c r="BD23" s="600"/>
      <c r="BE23" s="600">
        <f>IF(ISNUMBER(STDEV(BE8:BE20)),STDEV(BE8:BE20),"-")</f>
        <v>0</v>
      </c>
      <c r="BF23" s="605">
        <f>IF(ISNUMBER(STDEV(BF8:BF20)),STDEV(BF8:BF20),"-")</f>
        <v>0</v>
      </c>
      <c r="BG23" s="915">
        <f>IF(ISNUMBER(STDEV(BG8:BG20)),STDEV(BG8:BG20),"-")</f>
        <v>0.23672155141322987</v>
      </c>
      <c r="BH23" s="919">
        <f>IF(ISNUMBER(STDEV(BH8:BH20)),STDEV(BH8:BH20),"-")</f>
        <v>3.857427101418462</v>
      </c>
      <c r="BI23" s="254">
        <f>IF(ISNUMBER(STDEV(BI8:BI20)),STDEV(BI8:BI20),"-")</f>
        <v>8.9812662242221716E-2</v>
      </c>
      <c r="BJ23" s="235" t="str">
        <f>IF(ISNUMBER(BL23/BM23),BL23/BM23," - ")</f>
        <v xml:space="preserve"> - </v>
      </c>
      <c r="BK23" s="627"/>
      <c r="BL23" s="608">
        <f>IF(ISNUMBER(STDEV(BL8:BL20)),STDEV(BL8:BL20),"-")</f>
        <v>0.64438772477229034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xmNs+1MiBLEOS83nTKV8XgVfvjNhSkkoS+3tMYK5zj8ToizUT7YqJgFuRkAeLTCdJHusAg1ZvKZ/ZO7VTYseQ==" saltValue="ku0hjMaLV4xRfJx4YkYE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ELCHE-ELX</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488</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632</v>
      </c>
      <c r="AA9" s="506" t="str">
        <f>IF(ISNUMBER(IF(J_V="SI",Datos!L9,Datos!L9+Datos!AB9)-IF(Monitorios="SI",Datos!CD9,0)),
                          IF(J_V="SI",Datos!L9,Datos!L9+Datos!AB9)-IF(Monitorios="SI",Datos!CD9,0),
                          " - ")</f>
        <v xml:space="preserve"> - </v>
      </c>
      <c r="AB9" s="504"/>
      <c r="AC9" s="504"/>
      <c r="AD9" s="517"/>
      <c r="AE9" s="517">
        <f>IF(ISNUMBER(Datos!R9),Datos!R9," - ")</f>
        <v>12567</v>
      </c>
      <c r="AF9" s="620" t="str">
        <f>IF(ISNUMBER(Datos!BV9),Datos!BV9," - ")</f>
        <v xml:space="preserve"> - </v>
      </c>
      <c r="AG9" s="507" t="str">
        <f>IF(ISNUMBER(Datos!DV9),Datos!DV9," - ")</f>
        <v xml:space="preserve"> - </v>
      </c>
      <c r="AH9" s="508"/>
      <c r="AI9" s="509"/>
      <c r="AJ9" s="507">
        <f>IF(ISNUMBER(Datos!M9),Datos!M9," - ")</f>
        <v>549</v>
      </c>
      <c r="AK9" s="620">
        <f>IF(ISNUMBER(Datos!N9),Datos!N9," - ")</f>
        <v>1119</v>
      </c>
      <c r="AL9" s="620" t="str">
        <f>IF(ISNUMBER(Datos!BW9),Datos!BW9," - ")</f>
        <v xml:space="preserve"> - </v>
      </c>
      <c r="AM9" s="668" t="str">
        <f>IF(ISNUMBER(Datos!BX9),Datos!BX9," - ")</f>
        <v xml:space="preserve"> - </v>
      </c>
      <c r="AN9" s="669"/>
      <c r="AO9" s="670">
        <f>IF(ISNUMBER(((NºAsuntos!I9/NºAsuntos!G9)*11)/factor_trimestre),((NºAsuntos!I9/NºAsuntos!G9)*11)/factor_trimestre," - ")</f>
        <v>10.70331325301205</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-1.1328770356384235E-2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2</v>
      </c>
      <c r="F10" s="507">
        <f>IF(ISNUMBER(Datos!L10+Datos!K10-Datos!J10),Datos!L10+Datos!K10-Datos!J10," - ")</f>
        <v>111</v>
      </c>
      <c r="G10" s="507">
        <f>IF(ISNUMBER(Datos!I10),Datos!I10," - ")</f>
        <v>111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37</v>
      </c>
      <c r="Z10" s="704">
        <f>IF(ISNUMBER(Datos!Q10),Datos!Q10," - ")</f>
        <v>8</v>
      </c>
      <c r="AA10" s="506">
        <f>IF(ISNUMBER(Datos!L10),Datos!L10,"-")</f>
        <v>129</v>
      </c>
      <c r="AB10" s="504"/>
      <c r="AC10" s="504"/>
      <c r="AD10" s="517"/>
      <c r="AE10" s="517">
        <f>IF(ISNUMBER(Datos!R10),Datos!R10," - ")</f>
        <v>181</v>
      </c>
      <c r="AF10" s="620" t="str">
        <f>IF(ISNUMBER(Datos!BV10),Datos!BV10," - ")</f>
        <v xml:space="preserve"> - </v>
      </c>
      <c r="AG10" s="507" t="str">
        <f>IF(ISNUMBER(Datos!DV10),Datos!DV10," - ")</f>
        <v xml:space="preserve"> - </v>
      </c>
      <c r="AH10" s="508"/>
      <c r="AI10" s="509"/>
      <c r="AJ10" s="507">
        <f>IF(ISNUMBER(Datos!M10),Datos!M10," - ")</f>
        <v>16</v>
      </c>
      <c r="AK10" s="620">
        <f>IF(ISNUMBER(Datos!N10),Datos!N10," - ")</f>
        <v>11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10.45945945945946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9.036144578313253E-2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43</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94</v>
      </c>
      <c r="AA11" s="506" t="str">
        <f>IF(ISNUMBER(IF(J_V="SI",Datos!L11,Datos!L11+Datos!AB11)-IF(Monitorios="SI",Datos!CD11,0)),
                          IF(J_V="SI",Datos!L11,Datos!L11+Datos!AB11)-IF(Monitorios="SI",Datos!CD11,0),
                          " - ")</f>
        <v xml:space="preserve"> - </v>
      </c>
      <c r="AB11" s="504"/>
      <c r="AC11" s="504"/>
      <c r="AD11" s="517"/>
      <c r="AE11" s="517">
        <f>IF(ISNUMBER(Datos!R11),Datos!R11," - ")</f>
        <v>1472</v>
      </c>
      <c r="AF11" s="620" t="str">
        <f>IF(ISNUMBER(Datos!BV11),Datos!BV11," - ")</f>
        <v xml:space="preserve"> - </v>
      </c>
      <c r="AG11" s="507" t="str">
        <f>IF(ISNUMBER(Datos!DV11),Datos!DV11," - ")</f>
        <v xml:space="preserve"> - </v>
      </c>
      <c r="AH11" s="508"/>
      <c r="AI11" s="509"/>
      <c r="AJ11" s="507">
        <f>IF(ISNUMBER(Datos!M11),Datos!M11," - ")</f>
        <v>84</v>
      </c>
      <c r="AK11" s="620">
        <f>IF(ISNUMBER(Datos!N11),Datos!N11," - ")</f>
        <v>313</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6.6448598130841114</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-3.3486539724228499E-2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111</v>
      </c>
      <c r="G14" s="1045">
        <f>SUBTOTAL(9,G8:G13)</f>
        <v>111</v>
      </c>
      <c r="H14" s="1055"/>
      <c r="I14" s="1045">
        <f t="shared" ref="I14:N14" si="1">SUBTOTAL(9,I8:I13)</f>
        <v>0</v>
      </c>
      <c r="J14" s="1014">
        <f t="shared" si="1"/>
        <v>0</v>
      </c>
      <c r="K14" s="1055">
        <f t="shared" si="1"/>
        <v>0</v>
      </c>
      <c r="L14" s="1055">
        <f t="shared" si="1"/>
        <v>0</v>
      </c>
      <c r="M14" s="1055">
        <f t="shared" si="1"/>
        <v>0</v>
      </c>
      <c r="N14" s="1055">
        <f t="shared" si="1"/>
        <v>554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37</v>
      </c>
      <c r="Z14" s="1054">
        <f t="shared" si="3"/>
        <v>734</v>
      </c>
      <c r="AA14" s="1047">
        <f t="shared" si="3"/>
        <v>129</v>
      </c>
      <c r="AB14" s="1047">
        <f t="shared" si="3"/>
        <v>0</v>
      </c>
      <c r="AC14" s="1047">
        <f t="shared" si="3"/>
        <v>0</v>
      </c>
      <c r="AD14" s="1047">
        <f t="shared" si="3"/>
        <v>0</v>
      </c>
      <c r="AE14" s="1047">
        <f t="shared" si="3"/>
        <v>14220</v>
      </c>
      <c r="AF14" s="1055">
        <f t="shared" si="3"/>
        <v>0</v>
      </c>
      <c r="AG14" s="1055">
        <f t="shared" si="3"/>
        <v>0</v>
      </c>
      <c r="AH14" s="1055">
        <f t="shared" si="3"/>
        <v>0</v>
      </c>
      <c r="AI14" s="1055">
        <f t="shared" si="3"/>
        <v>0</v>
      </c>
      <c r="AJ14" s="1055">
        <f t="shared" si="3"/>
        <v>649</v>
      </c>
      <c r="AK14" s="1055">
        <f t="shared" si="3"/>
        <v>1443</v>
      </c>
      <c r="AL14" s="1055">
        <f t="shared" si="3"/>
        <v>0</v>
      </c>
      <c r="AM14" s="1055">
        <f t="shared" si="3"/>
        <v>0</v>
      </c>
      <c r="AN14" s="1055">
        <f t="shared" si="3"/>
        <v>0</v>
      </c>
      <c r="AO14" s="1051">
        <f>IF(ISNUMBER(((NºAsuntos!I14/NºAsuntos!G14)*11)/factor_trimestre),((NºAsuntos!I14/NºAsuntos!G14)*11)/factor_trimestre," - ")</f>
        <v>10.143864146107017</v>
      </c>
      <c r="AP14" s="1057" t="str">
        <f>IF(ISNUMBER(Datos!CI14/Datos!CJ14),Datos!CI14/Datos!CJ14," - ")</f>
        <v xml:space="preserve"> - </v>
      </c>
      <c r="AQ14" s="1075">
        <f t="shared" ref="AQ14:AV14" si="4">SUBTOTAL(9,AQ9:AQ13)</f>
        <v>0</v>
      </c>
      <c r="AR14" s="1075">
        <f t="shared" si="4"/>
        <v>4.5546135702519801E-2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2330</v>
      </c>
      <c r="G16" s="507">
        <f>IF(ISNUMBER(IF(D_I="SI",Datos!I16,Datos!I16+Datos!AC16)),IF(D_I="SI",Datos!I16,Datos!I16+Datos!AC16)," - ")</f>
        <v>2272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173</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2496</v>
      </c>
      <c r="Z16" s="704">
        <f>IF(ISNUMBER(Datos!Q16),Datos!Q16," - ")</f>
        <v>136</v>
      </c>
      <c r="AA16" s="506">
        <f>IF(ISNUMBER(IF(D_I="SI",Datos!L16,Datos!L16+Datos!AF16)),IF(D_I="SI",Datos!L16,Datos!L16+Datos!AF16)," - ")</f>
        <v>2554</v>
      </c>
      <c r="AB16" s="504"/>
      <c r="AC16" s="504"/>
      <c r="AD16" s="517"/>
      <c r="AE16" s="517">
        <f>IF(ISNUMBER(Datos!R16),Datos!R16," - ")</f>
        <v>494</v>
      </c>
      <c r="AF16" s="620" t="str">
        <f>IF(ISNUMBER(Datos!BV16),Datos!BV16," - ")</f>
        <v xml:space="preserve"> - </v>
      </c>
      <c r="AG16" s="507"/>
      <c r="AH16" s="508"/>
      <c r="AI16" s="509"/>
      <c r="AJ16" s="507">
        <f>IF(ISNUMBER(Datos!M16),Datos!M16," - ")</f>
        <v>451</v>
      </c>
      <c r="AK16" s="620">
        <f>IF(ISNUMBER(Datos!N16),Datos!N16," - ")</f>
        <v>1234</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3.0697115384615388</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2</v>
      </c>
      <c r="F18" s="507" t="str">
        <f>IF(ISNUMBER(AA18+Y18-I18-K18),AA18+Y18-I18-K18," - ")</f>
        <v xml:space="preserve"> - </v>
      </c>
      <c r="G18" s="741">
        <f>IF(ISNUMBER(IF(D_I="SI",Datos!I18,Datos!I18+Datos!AC18)),IF(D_I="SI",Datos!I18,Datos!I18+Datos!AC18)," - ")</f>
        <v>278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404</v>
      </c>
      <c r="Z18" s="704">
        <f>IF(ISNUMBER(Datos!Q18),Datos!Q18," - ")</f>
        <v>0</v>
      </c>
      <c r="AA18" s="506">
        <f>IF(ISNUMBER(Datos!L18),Datos!L18,"-")</f>
        <v>368</v>
      </c>
      <c r="AB18" s="504"/>
      <c r="AC18" s="504"/>
      <c r="AD18" s="517"/>
      <c r="AE18" s="517">
        <f>IF(ISNUMBER(Datos!R18),Datos!R18," - ")</f>
        <v>32</v>
      </c>
      <c r="AF18" s="620" t="str">
        <f>IF(ISNUMBER(Datos!BV18),Datos!BV18," - ")</f>
        <v xml:space="preserve"> - </v>
      </c>
      <c r="AG18" s="507" t="str">
        <f>IF(ISNUMBER(Datos!DV18),Datos!DV18," - ")</f>
        <v xml:space="preserve"> - </v>
      </c>
      <c r="AH18" s="508"/>
      <c r="AI18" s="509"/>
      <c r="AJ18" s="507">
        <f>IF(ISNUMBER(Datos!M18),Datos!M18," - ")</f>
        <v>77</v>
      </c>
      <c r="AK18" s="620">
        <f>IF(ISNUMBER(Datos!N18),Datos!N18," - ")</f>
        <v>315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2.7326732673267329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2330</v>
      </c>
      <c r="G20" s="1045">
        <f>SUBTOTAL(9,G16:G19)</f>
        <v>2550</v>
      </c>
      <c r="H20" s="1079">
        <f>SUBTOTAL(9,H16:H19)</f>
        <v>0</v>
      </c>
      <c r="I20" s="1058">
        <f>SUBTOTAL(9,I16:I19)</f>
        <v>0</v>
      </c>
      <c r="J20" s="1014">
        <f>SUBTOTAL(9,J15:J19)</f>
        <v>0</v>
      </c>
      <c r="K20" s="1079">
        <f t="shared" ref="K20:S20" si="5">SUBTOTAL(9,K16:K19)</f>
        <v>0</v>
      </c>
      <c r="L20" s="1079">
        <f t="shared" si="5"/>
        <v>0</v>
      </c>
      <c r="M20" s="1079">
        <f t="shared" si="5"/>
        <v>0</v>
      </c>
      <c r="N20" s="1079">
        <f t="shared" si="5"/>
        <v>176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2900</v>
      </c>
      <c r="Z20" s="1079">
        <f t="shared" si="6"/>
        <v>136</v>
      </c>
      <c r="AA20" s="1079">
        <f t="shared" si="6"/>
        <v>2922</v>
      </c>
      <c r="AB20" s="1079">
        <f t="shared" si="6"/>
        <v>0</v>
      </c>
      <c r="AC20" s="1079">
        <f t="shared" si="6"/>
        <v>0</v>
      </c>
      <c r="AD20" s="1079">
        <f t="shared" si="6"/>
        <v>0</v>
      </c>
      <c r="AE20" s="1079">
        <f t="shared" si="6"/>
        <v>526</v>
      </c>
      <c r="AF20" s="1079">
        <f t="shared" si="6"/>
        <v>0</v>
      </c>
      <c r="AG20" s="1079">
        <f t="shared" si="6"/>
        <v>0</v>
      </c>
      <c r="AH20" s="1079">
        <f t="shared" si="6"/>
        <v>0</v>
      </c>
      <c r="AI20" s="1079">
        <f t="shared" si="6"/>
        <v>0</v>
      </c>
      <c r="AJ20" s="1079">
        <f t="shared" si="6"/>
        <v>528</v>
      </c>
      <c r="AK20" s="1079">
        <f t="shared" si="6"/>
        <v>1549</v>
      </c>
      <c r="AL20" s="1079">
        <f t="shared" si="6"/>
        <v>0</v>
      </c>
      <c r="AM20" s="1079">
        <f t="shared" si="6"/>
        <v>0</v>
      </c>
      <c r="AN20" s="1079">
        <f t="shared" si="6"/>
        <v>0</v>
      </c>
      <c r="AO20" s="1081">
        <f>IF(ISNUMBER(((NºAsuntos!I20/NºAsuntos!G20)*11)/factor_trimestre),((NºAsuntos!I20/NºAsuntos!G20)*11)/factor_trimestre," - ")</f>
        <v>3.0227586206896557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17</v>
      </c>
      <c r="F21" s="967">
        <f t="shared" si="8"/>
        <v>2441</v>
      </c>
      <c r="G21" s="967">
        <f t="shared" si="8"/>
        <v>2661</v>
      </c>
      <c r="H21" s="968">
        <f t="shared" si="8"/>
        <v>0</v>
      </c>
      <c r="I21" s="967">
        <f t="shared" si="8"/>
        <v>0</v>
      </c>
      <c r="J21" s="969">
        <f t="shared" si="8"/>
        <v>0</v>
      </c>
      <c r="K21" s="967">
        <f t="shared" si="8"/>
        <v>0</v>
      </c>
      <c r="L21" s="970">
        <f t="shared" si="8"/>
        <v>0</v>
      </c>
      <c r="M21" s="967">
        <f t="shared" si="8"/>
        <v>0</v>
      </c>
      <c r="N21" s="968">
        <f t="shared" si="8"/>
        <v>730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2937</v>
      </c>
      <c r="Z21" s="974">
        <f t="shared" si="9"/>
        <v>870</v>
      </c>
      <c r="AA21" s="975">
        <f t="shared" si="9"/>
        <v>3051</v>
      </c>
      <c r="AB21" s="975">
        <f t="shared" si="9"/>
        <v>0</v>
      </c>
      <c r="AC21" s="975">
        <f t="shared" si="9"/>
        <v>0</v>
      </c>
      <c r="AD21" s="976">
        <f t="shared" si="9"/>
        <v>0</v>
      </c>
      <c r="AE21" s="976">
        <f t="shared" si="9"/>
        <v>14746</v>
      </c>
      <c r="AF21" s="977">
        <f t="shared" si="9"/>
        <v>0</v>
      </c>
      <c r="AG21" s="978">
        <f t="shared" si="9"/>
        <v>0</v>
      </c>
      <c r="AH21" s="979">
        <f t="shared" si="9"/>
        <v>0</v>
      </c>
      <c r="AI21" s="977">
        <f t="shared" si="9"/>
        <v>0</v>
      </c>
      <c r="AJ21" s="967">
        <f t="shared" si="9"/>
        <v>1177</v>
      </c>
      <c r="AK21" s="967">
        <f t="shared" si="9"/>
        <v>2992</v>
      </c>
      <c r="AL21" s="967">
        <f t="shared" si="9"/>
        <v>0</v>
      </c>
      <c r="AM21" s="980">
        <f t="shared" si="9"/>
        <v>0</v>
      </c>
      <c r="AN21" s="970">
        <f>IF(ISNUMBER(Datos!K21/Datos!J21),Datos!K21/Datos!J21," - ")</f>
        <v>1.0308520179372198</v>
      </c>
      <c r="AO21" s="970">
        <f>IF(ISNUMBER(FIND("06",Criterios!A8,1)),(IF(ISNUMBER(((Datos!R21/Datos!Q21)*11)/factor_trimestre),((Datos!R21/Datos!Q21)*11)/factor_trimestre," - ")),(IF(ISNUMBER(((Datos!L21/Datos!K21)*11)/factor_trimestre),((Datos!L21/Datos!K21)*11)/factor_trimestre," - ")))</f>
        <v>6.8696711327649211</v>
      </c>
      <c r="AP21" s="981" t="str">
        <f>IF(ISNUMBER(Datos!CI21/Datos!CJ21),Datos!CI21/Datos!CJ21," - ")</f>
        <v xml:space="preserve"> - </v>
      </c>
      <c r="AQ21" s="981">
        <f>IF(OR(ISNUMBER(FIND("01",Criterios!A8,1)),ISNUMBER(FIND("02",Criterios!A8,1)),ISNUMBER(FIND("03",Criterios!A8,1)),ISNUMBER(FIND("04",Criterios!A8,1))),(J21-Y21+K21)/(F21-K21),(I21-Y21+K21)/(F21-K21))</f>
        <v>-1.2031954117165096</v>
      </c>
      <c r="AR21" s="981">
        <f>IF(ISNUMBER((Datos!P21-Datos!Q21+O21)/(Datos!R21-Datos!P21+Datos!Q21-O21)),(Datos!P21-Datos!Q21+O21)/(Datos!R21-Datos!P21+Datos!Q21-O21)," - ")</f>
        <v>-9.4048098884858249E-3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1064.4000000000001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1281.1402473317796</v>
      </c>
      <c r="G23" s="601">
        <f>IF(ISNUMBER(STDEV(G8:G20)),STDEV(G8:G20),"-")</f>
        <v>1235.078256629919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266.58689282965776</v>
      </c>
      <c r="AK23" s="257"/>
      <c r="AL23" s="257">
        <f>IF(ISNUMBER(STDEV(AL8:AL20)),STDEV(AL8:AL20),"-")</f>
        <v>0</v>
      </c>
      <c r="AM23" s="259">
        <f>IF(ISNUMBER(STDEV(AM8:AM20)),STDEV(AM8:AM20),"-")</f>
        <v>0</v>
      </c>
      <c r="AN23" s="587">
        <f>IF(ISNUMBER(STDEV(AN8:AN20)),STDEV(AN8:AN20),"-")</f>
        <v>0</v>
      </c>
      <c r="AO23" s="588">
        <f>IF(ISNUMBER(STDEV(AO8:AO20)),STDEV(AO8:AO20),"-")</f>
        <v>3.7519305931167635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vUQ+CxMTWHH9+dgec472ZMSUpDNDdQdDrDigENpUHTS7gT8SQ4MCI7AGEdpFf4n3Ig+BsUmAasGX06FTVr8Sg==" saltValue="F9Q4M+N4xBDKwDLraJI+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0Pd7twUS04SJLnIVoUhuQnKh0beiWcpoSiLVYhVBW8uk5FSuDpQwjzuZk96E5k+3gorkGoFsU1mp0MTm+jm5g==" saltValue="T08fJzp/qy4UcA+OkQ1t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cbfo+HdATa8ovDZsVCiXI5HXXYT6RC0tTrQ2lR+tAj7E98zyGHbAUR76XcwLYDrpx2yK5uMv8ybSHyq53gZEg==" saltValue="HibzUAZl9LuR2XJh96ke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ELCHE-ELX</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0.20794617109900673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0.14704014770588572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ibkXNCeqhQ90zDlCyrHC4BPUw2CnsZyXjfAjm33pgRhiVVc5Lja5PcVGCPrFeqIY1K6DJuDW4g/xC3gM3Ic6Q==" saltValue="JBi1T/fX+sm7aMAuHUO2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Tn/XL0p4cJSFt95AgZ+DKWJLOFn+Pmp2cI2R65m9XX+zjxGAO31N7zZO+kim5VZ6AQwZxC1wNJmYKhBaGjEwA==" saltValue="ev9t4wEbJaLFAbb6Ke4f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ELCHE-ELX</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10073</v>
      </c>
      <c r="D9" s="416">
        <f>IF(ISNUMBER(C9/Datos!BH9),C9/Datos!BH9," - ")</f>
        <v>1678.8333333333333</v>
      </c>
      <c r="E9" s="415">
        <f>IF(ISNUMBER(IF(J_V="SI",Datos!J9,Datos!J9+Datos!Z9)),IF(J_V="SI",Datos!J9,Datos!J9+Datos!Z9)," - ")</f>
        <v>2008</v>
      </c>
      <c r="F9" s="416">
        <f>IF(ISNUMBER(E9/B9),E9/B9," - ")</f>
        <v>334.66666666666669</v>
      </c>
      <c r="G9" s="415">
        <f>IF(ISNUMBER(IF(J_V="SI",Datos!K9,Datos!K9+Datos!AA9)),IF(J_V="SI",Datos!K9,Datos!K9+Datos!AA9)," - ")</f>
        <v>2656</v>
      </c>
      <c r="H9" s="416">
        <f>IF(ISNUMBER(G9/B9),G9/B9," - ")</f>
        <v>442.66666666666669</v>
      </c>
      <c r="I9" s="415">
        <f>IF(ISNUMBER(IF(J_V="SI",Datos!L9,Datos!L9+Datos!AB9)),IF(J_V="SI",Datos!L9,Datos!L9+Datos!AB9)," - ")</f>
        <v>9476</v>
      </c>
      <c r="J9" s="416">
        <f>IF(ISNUMBER(I9/B9),I9/B9," - ")</f>
        <v>1579.3333333333333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111</v>
      </c>
      <c r="D10" s="416">
        <f>IF(ISNUMBER(C10/Datos!BH10),C10/Datos!BH10," - ")</f>
        <v>111</v>
      </c>
      <c r="E10" s="415">
        <f>IF(ISNUMBER(Datos!J10),Datos!J10," - ")</f>
        <v>55</v>
      </c>
      <c r="F10" s="416">
        <f>IF(ISNUMBER(E10/B10),E10/B10," - ")</f>
        <v>27.5</v>
      </c>
      <c r="G10" s="415">
        <f>IF(ISNUMBER(Datos!K10),Datos!K10," - ")</f>
        <v>37</v>
      </c>
      <c r="H10" s="416">
        <f>IF(ISNUMBER(G10/B10),G10/B10," - ")</f>
        <v>18.5</v>
      </c>
      <c r="I10" s="415">
        <f>IF(ISNUMBER(Datos!L10),Datos!L10," - ")</f>
        <v>129</v>
      </c>
      <c r="J10" s="416">
        <f>IF(ISNUMBER(I10/B10),I10/B10," - ")</f>
        <v>64.5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818</v>
      </c>
      <c r="D11" s="416">
        <f>IF(ISNUMBER(C11/Datos!BH11),C11/Datos!BH11," - ")</f>
        <v>409</v>
      </c>
      <c r="E11" s="415">
        <f>IF(ISNUMBER(IF(J_V="SI",Datos!J11,Datos!J11+Datos!Z11)),IF(J_V="SI",Datos!J11,Datos!J11+Datos!Z11)," - ")</f>
        <v>560</v>
      </c>
      <c r="F11" s="416">
        <f>IF(ISNUMBER(E11/B11),E11/B11," - ")</f>
        <v>280</v>
      </c>
      <c r="G11" s="415">
        <f>IF(ISNUMBER(IF(J_V="SI",Datos!K11,Datos!K11+Datos!AA11)),IF(J_V="SI",Datos!K11,Datos!K11+Datos!AA11)," - ")</f>
        <v>428</v>
      </c>
      <c r="H11" s="416">
        <f>IF(ISNUMBER(G11/B11),G11/B11," - ")</f>
        <v>214</v>
      </c>
      <c r="I11" s="415">
        <f>IF(ISNUMBER(IF(J_V="SI",Datos!L11,Datos!L11+Datos!AB11)),IF(J_V="SI",Datos!L11,Datos!L11+Datos!AB11)," - ")</f>
        <v>948</v>
      </c>
      <c r="J11" s="416">
        <f>IF(ISNUMBER(I11/B11),I11/B11," - ")</f>
        <v>474</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11002</v>
      </c>
      <c r="D14" s="997" t="str">
        <f>IF(ISNUMBER(C14/Datos!BI14),C14/Datos!BI14," - ")</f>
        <v xml:space="preserve"> - </v>
      </c>
      <c r="E14" s="996">
        <f>SUBTOTAL(9,E8:E13)</f>
        <v>2623</v>
      </c>
      <c r="F14" s="997">
        <f>IF(ISNUMBER(E14/B14),E14/B14," - ")</f>
        <v>262.3</v>
      </c>
      <c r="G14" s="996">
        <f>SUBTOTAL(9,G8:G13)</f>
        <v>3121</v>
      </c>
      <c r="H14" s="997">
        <f>IF(ISNUMBER(G14/B14),G14/B14," - ")</f>
        <v>312.10000000000002</v>
      </c>
      <c r="I14" s="996">
        <f>SUBTOTAL(9,I8:I13)</f>
        <v>10553</v>
      </c>
      <c r="J14" s="997">
        <f>IF(ISNUMBER(I14/B14),I14/B14," - ")</f>
        <v>1055.3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2272</v>
      </c>
      <c r="D16" s="416">
        <f>IF(ISNUMBER(C16/Datos!BH16),C16/Datos!BH16," - ")</f>
        <v>454.4</v>
      </c>
      <c r="E16" s="415">
        <f>IF(ISNUMBER(IF(D_I="SI",Datos!J16,Datos!J16+Datos!AD16)),IF(D_I="SI",Datos!J16,Datos!J16+Datos!AD16)," - ")</f>
        <v>2720</v>
      </c>
      <c r="F16" s="416">
        <f>IF(ISNUMBER(E16/B16),E16/B16," - ")</f>
        <v>544</v>
      </c>
      <c r="G16" s="415">
        <f>IF(ISNUMBER(IF(D_I="SI",Datos!K16,Datos!K16+Datos!AE16)),IF(D_I="SI",Datos!K16,Datos!K16+Datos!AE16)," - ")</f>
        <v>2496</v>
      </c>
      <c r="H16" s="416">
        <f>IF(ISNUMBER(G16/B16),G16/B16," - ")</f>
        <v>499.2</v>
      </c>
      <c r="I16" s="415">
        <f>IF(ISNUMBER(IF(D_I="SI",Datos!L16,Datos!L16+Datos!AF16)),IF(D_I="SI",Datos!L16,Datos!L16+Datos!AF16)," - ")</f>
        <v>2554</v>
      </c>
      <c r="J16" s="416">
        <f>IF(ISNUMBER(I16/B16),I16/B16," - ")</f>
        <v>510.8</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278</v>
      </c>
      <c r="D18" s="416">
        <f>IF(ISNUMBER(C18/Datos!BH18),C18/Datos!BH18," - ")</f>
        <v>278</v>
      </c>
      <c r="E18" s="415">
        <f>IF(ISNUMBER(IF(D_I="SI",Datos!J18,Datos!J18+Datos!AD18)),IF(D_I="SI",Datos!J18,Datos!J18+Datos!AD18)," - ")</f>
        <v>494</v>
      </c>
      <c r="F18" s="416">
        <f>IF(ISNUMBER(E18/B18),E18/B18," - ")</f>
        <v>247</v>
      </c>
      <c r="G18" s="415">
        <f>IF(ISNUMBER(IF(D_I="SI",Datos!K18,Datos!K18+Datos!AE18)),IF(D_I="SI",Datos!K18,Datos!K18+Datos!AE18)," - ")</f>
        <v>404</v>
      </c>
      <c r="H18" s="416">
        <f>IF(ISNUMBER(G18/B18),G18/B18," - ")</f>
        <v>202</v>
      </c>
      <c r="I18" s="415">
        <f>IF(ISNUMBER(IF(D_I="SI",Datos!L18,Datos!L18+Datos!AF18)),IF(D_I="SI",Datos!L18,Datos!L18+Datos!AF18)," - ")</f>
        <v>368</v>
      </c>
      <c r="J18" s="416">
        <f>IF(ISNUMBER(I18/B18),I18/B18," - ")</f>
        <v>184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2550</v>
      </c>
      <c r="D20" s="997" t="str">
        <f>IF(ISNUMBER(C20/Datos!BI20),C20/Datos!BI20," - ")</f>
        <v xml:space="preserve"> - </v>
      </c>
      <c r="E20" s="996">
        <f>SUBTOTAL(9,E15:E19)</f>
        <v>3214</v>
      </c>
      <c r="F20" s="997">
        <f>IF(ISNUMBER(E20/B20),E20/B20," - ")</f>
        <v>459.14285714285717</v>
      </c>
      <c r="G20" s="996">
        <f>SUBTOTAL(9,G15:G19)</f>
        <v>2900</v>
      </c>
      <c r="H20" s="997">
        <f>IF(ISNUMBER(G20/B20),G20/B20," - ")</f>
        <v>414.28571428571428</v>
      </c>
      <c r="I20" s="996">
        <f>SUBTOTAL(9,I15:I19)</f>
        <v>2922</v>
      </c>
      <c r="J20" s="997">
        <f>IF(ISNUMBER(I20/B20),I20/B20," - ")</f>
        <v>417.42857142857144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15</v>
      </c>
      <c r="C21" s="941">
        <f>SUBTOTAL(9,C9:C20)</f>
        <v>13552</v>
      </c>
      <c r="D21" s="942" t="str">
        <f>IF(ISNUMBER(C21/Datos!BI21),C21/Datos!BI21," - ")</f>
        <v xml:space="preserve"> - </v>
      </c>
      <c r="E21" s="941">
        <f>SUBTOTAL(9,E9:E20)</f>
        <v>5837</v>
      </c>
      <c r="F21" s="942">
        <f>IF(ISNUMBER(E21/B21),E21/B21," - ")</f>
        <v>389.13333333333333</v>
      </c>
      <c r="G21" s="941">
        <f>SUBTOTAL(9,G9:G20)</f>
        <v>6021</v>
      </c>
      <c r="H21" s="942">
        <f>IF(ISNUMBER(G21/B21),G21/B21," - ")</f>
        <v>401.4</v>
      </c>
      <c r="I21" s="941">
        <f>SUBTOTAL(9,I9:I20)</f>
        <v>13475</v>
      </c>
      <c r="J21" s="942">
        <f>IF(ISNUMBER(I21/B21),I21/B21," - ")</f>
        <v>898.33333333333337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EO+T1VCqFj7FtGWdBgVaKahquMwTgo4ZN+V7y4A0XSozTITduBLcsgwWz+C8rT+Rygd9gJ8sulaYtBZFeucHQ==" saltValue="NfbdMnvUCJou1SETQH6ls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ELCHE-ELX</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2</v>
      </c>
      <c r="F10" s="802">
        <f>IF(ISNUMBER(Datos!L10+Datos!K10-Datos!J10),Datos!L10+Datos!K10-Datos!J10," - ")</f>
        <v>111</v>
      </c>
      <c r="G10" s="803">
        <f>IF(ISNUMBER(Datos!I10),Datos!I10," - ")</f>
        <v>111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37</v>
      </c>
      <c r="AC10" s="802" t="str">
        <f>IF(ISNUMBER(IF(D_I="SI",DatosP!K18,DatosP!K18+DatosP!AE18)),IF(D_I="SI",DatosP!K18,DatosP!K18+DatosP!AE18)," - ")</f>
        <v xml:space="preserve"> - </v>
      </c>
      <c r="AD10" s="804"/>
      <c r="AE10" s="804"/>
      <c r="AF10" s="807">
        <f>IF(ISNUMBER(Datos!L10),Datos!L10,"-")</f>
        <v>129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16</v>
      </c>
      <c r="AM10" s="811">
        <f>IF(ISNUMBER(Datos!N10+DatosP!N18),Datos!N10+DatosP!N18," - ")</f>
        <v>11</v>
      </c>
      <c r="AN10" s="811">
        <f>IF(ISNUMBER(Datos!BW10+DatosP!BW18),Datos!BW10+DatosP!BW18," - ")</f>
        <v>0</v>
      </c>
      <c r="AO10" s="812">
        <f>IF(ISNUMBER(Datos!BX10+DatosP!BX18),Datos!BX10+DatosP!BX18," - ")</f>
        <v>0</v>
      </c>
      <c r="AP10" s="814">
        <f>IF(ISNUMBER(((Datos!L10/Datos!K10)*11)/factor_trimestre),((Datos!L10/Datos!K10)*11)/factor_trimestre," - ")</f>
        <v>10.45945945945946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111</v>
      </c>
      <c r="G14" s="1085">
        <f t="shared" si="0"/>
        <v>111</v>
      </c>
      <c r="H14" s="1085">
        <f t="shared" si="0"/>
        <v>0</v>
      </c>
      <c r="I14" s="1087">
        <f t="shared" si="0"/>
        <v>0</v>
      </c>
      <c r="J14" s="1086">
        <f t="shared" si="0"/>
        <v>0</v>
      </c>
      <c r="K14" s="1086">
        <f t="shared" si="0"/>
        <v>0</v>
      </c>
      <c r="L14" s="1088">
        <f t="shared" si="0"/>
        <v>0</v>
      </c>
      <c r="M14" s="1088">
        <f t="shared" si="0"/>
        <v>0</v>
      </c>
      <c r="N14" s="1086">
        <f t="shared" si="0"/>
        <v>23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37</v>
      </c>
      <c r="AC14" s="1086">
        <f t="shared" si="1"/>
        <v>0</v>
      </c>
      <c r="AD14" s="1086">
        <f t="shared" si="1"/>
        <v>0</v>
      </c>
      <c r="AE14" s="1086">
        <f t="shared" si="1"/>
        <v>0</v>
      </c>
      <c r="AF14" s="1086">
        <f t="shared" si="1"/>
        <v>129</v>
      </c>
      <c r="AG14" s="1086">
        <f t="shared" si="1"/>
        <v>0</v>
      </c>
      <c r="AH14" s="1086">
        <f t="shared" si="1"/>
        <v>0</v>
      </c>
      <c r="AI14" s="1086">
        <f t="shared" si="1"/>
        <v>0</v>
      </c>
      <c r="AJ14" s="1086">
        <f t="shared" si="1"/>
        <v>0</v>
      </c>
      <c r="AK14" s="1086">
        <f t="shared" si="1"/>
        <v>0</v>
      </c>
      <c r="AL14" s="1086">
        <f t="shared" si="1"/>
        <v>16</v>
      </c>
      <c r="AM14" s="1086">
        <f t="shared" si="1"/>
        <v>11</v>
      </c>
      <c r="AN14" s="1086">
        <f t="shared" si="1"/>
        <v>0</v>
      </c>
      <c r="AO14" s="1086">
        <f t="shared" si="1"/>
        <v>0</v>
      </c>
      <c r="AP14" s="1091">
        <f>IF(ISNUMBER(((Datos!L14/Datos!K14)*11)/factor_trimestre),((Datos!L14/Datos!K14)*11)/factor_trimestre," - ")</f>
        <v>10.788198103266597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3.0227586206896557</v>
      </c>
      <c r="AQ20" s="1091">
        <f>IF(ISNUMBER(((Datos!M20/Datos!L20)*11)/factor_trimestre),((Datos!M20/Datos!L20)*11)/factor_trimestre," - ")</f>
        <v>0.5420944558521561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8.2304526748971193E-2</v>
      </c>
      <c r="AW20" s="1093">
        <f>IF(ISNUMBER((Datos!Q20-Datos!R20)/(Datos!S20-Datos!Q20+Datos!R20)),(Datos!Q20-Datos!R20)/(Datos!S20-Datos!Q20+Datos!R20)," - ")</f>
        <v>-0.15330188679245282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111</v>
      </c>
      <c r="G21" s="1098">
        <f t="shared" si="4"/>
        <v>111</v>
      </c>
      <c r="H21" s="1098">
        <f t="shared" si="4"/>
        <v>0</v>
      </c>
      <c r="I21" s="1099">
        <f t="shared" si="4"/>
        <v>0</v>
      </c>
      <c r="J21" s="1100">
        <f t="shared" si="4"/>
        <v>0</v>
      </c>
      <c r="K21" s="1100">
        <f t="shared" si="4"/>
        <v>0</v>
      </c>
      <c r="L21" s="1100">
        <f t="shared" si="4"/>
        <v>0</v>
      </c>
      <c r="M21" s="1100">
        <f t="shared" si="4"/>
        <v>0</v>
      </c>
      <c r="N21" s="1099">
        <f t="shared" si="4"/>
        <v>23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37</v>
      </c>
      <c r="AC21" s="1104">
        <f t="shared" si="5"/>
        <v>0</v>
      </c>
      <c r="AD21" s="1104">
        <f t="shared" si="5"/>
        <v>0</v>
      </c>
      <c r="AE21" s="1104">
        <f t="shared" si="5"/>
        <v>0</v>
      </c>
      <c r="AF21" s="1105">
        <f t="shared" si="5"/>
        <v>129</v>
      </c>
      <c r="AG21" s="1105">
        <f t="shared" si="5"/>
        <v>0</v>
      </c>
      <c r="AH21" s="1105">
        <f t="shared" si="5"/>
        <v>0</v>
      </c>
      <c r="AI21" s="1105">
        <f t="shared" si="5"/>
        <v>0</v>
      </c>
      <c r="AJ21" s="1106">
        <f t="shared" si="5"/>
        <v>0</v>
      </c>
      <c r="AK21" s="1106">
        <f t="shared" si="5"/>
        <v>0</v>
      </c>
      <c r="AL21" s="1098">
        <f t="shared" si="5"/>
        <v>16</v>
      </c>
      <c r="AM21" s="1098">
        <f t="shared" si="5"/>
        <v>11</v>
      </c>
      <c r="AN21" s="1098">
        <f t="shared" si="5"/>
        <v>0</v>
      </c>
      <c r="AO21" s="1098">
        <f t="shared" si="5"/>
        <v>0</v>
      </c>
      <c r="AP21" s="1098">
        <f>IF(ISNUMBER(((Datos!L21/Datos!K21)*11)/factor_trimestre),((Datos!L21/Datos!K21)*11)/factor_trimestre," - ")</f>
        <v>6.8696711327649211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-9.4048098884858249E-3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3.8047589248453675</v>
      </c>
      <c r="F23" s="870">
        <f>IF(ISNUMBER(STDEV(F8:F20)),STDEV(F8:F20),"-")</f>
        <v>64.085879880048466</v>
      </c>
      <c r="G23" s="871">
        <f>IF(ISNUMBER(STDEV(G8:G20)),STDEV(G8:G20),"-")</f>
        <v>64.085879880048466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21.361959960016154</v>
      </c>
      <c r="AC23" s="872">
        <f>IF(ISNUMBER(STDEV(AC8:AC20)),STDEV(AC8:AC20),"-")</f>
        <v>0</v>
      </c>
      <c r="AD23" s="875"/>
      <c r="AE23" s="875"/>
      <c r="AF23" s="875"/>
      <c r="AG23" s="875"/>
      <c r="AH23" s="875"/>
      <c r="AI23" s="875"/>
      <c r="AJ23" s="876">
        <f>IF(ISNUMBER(STDEV(AJ8:AJ20)),STDEV(AJ8:AJ20),"-")</f>
        <v>0</v>
      </c>
      <c r="AK23" s="878"/>
      <c r="AL23" s="870">
        <f>IF(ISNUMBER(STDEV(AL8:AL20)),STDEV(AL8:AL20),"-")</f>
        <v>9.2376043070340135</v>
      </c>
      <c r="AM23" s="870"/>
      <c r="AN23" s="870">
        <f>IF(ISNUMBER(STDEV(AN8:AN20)),STDEV(AN8:AN20),"-")</f>
        <v>0</v>
      </c>
      <c r="AO23" s="876">
        <f>IF(ISNUMBER(STDEV(AO8:AO20)),STDEV(AO8:AO20),"-")</f>
        <v>0</v>
      </c>
      <c r="AP23" s="923">
        <f>IF(ISNUMBER(STDEV(AP8:AP20)),STDEV(AP8:AP20),"-")</f>
        <v>4.3915570287172727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rWpIcbsO+aEzDLOvxyYjqtJyguuXi6kfmRStIMeMR6jwJ9JEZU+8PhWn4w6+aaz5dRJnvfA6RaxNOf3/Etjw==" saltValue="5yZIzIGAC+mgKRjigffy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ELCHE-ELX</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2</v>
      </c>
      <c r="D10" s="415">
        <f>Datos!BK10</f>
        <v>0</v>
      </c>
      <c r="E10" s="415">
        <f>Datos!AQ10</f>
        <v>2</v>
      </c>
      <c r="F10" s="416">
        <f>IF(ISNUMBER(E10/Datos!BH10),E10/Datos!BH10," - ")</f>
        <v>2</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2</v>
      </c>
      <c r="D18" s="415">
        <f>Datos!BK18</f>
        <v>0</v>
      </c>
      <c r="E18" s="415">
        <f>Datos!AQ18</f>
        <v>2</v>
      </c>
      <c r="F18" s="416">
        <f>IF(ISNUMBER(E18/Datos!BH18),E18/Datos!BH18," - ")</f>
        <v>2</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JlSfRWX9tFdGLOPc9RZ4YT/ssIFMLVOY5bKLuBgBsoXx0RpS9hKvkzobYxPjn1aIe72BDlMxN3gXfov59Vimg==" saltValue="vtMLfAn5vpUQ1EF9uETZu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ELCHE-ELX</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549</v>
      </c>
      <c r="E9" s="416">
        <f t="shared" ref="E9:E14" si="0">IF(ISNUMBER(D9/B9),D9/B9," - ")</f>
        <v>91.5</v>
      </c>
      <c r="F9" s="415">
        <f>IF(ISNUMBER(Datos!N9),Datos!N9," - ")</f>
        <v>1119</v>
      </c>
      <c r="G9" s="416">
        <f t="shared" ref="G9:G14" si="1">IF(ISNUMBER(F9/B9),F9/B9," - ")</f>
        <v>186.5</v>
      </c>
      <c r="H9" s="415">
        <f>IF(ISNUMBER(Datos!O9),Datos!O9," - ")</f>
        <v>1139</v>
      </c>
      <c r="I9" s="416">
        <f>IF(ISNUMBER(H9/B9),H9/B9," - ")</f>
        <v>189.83333333333334</v>
      </c>
    </row>
    <row r="10" spans="1:9">
      <c r="A10" s="414" t="str">
        <f>Datos!A10</f>
        <v>Jdos. Violencia contra la mujer</v>
      </c>
      <c r="B10" s="444">
        <f>Datos!AO10</f>
        <v>2</v>
      </c>
      <c r="C10" s="422">
        <f>Datos!AQ10</f>
        <v>2</v>
      </c>
      <c r="D10" s="415">
        <f>IF(ISNUMBER(Datos!M10),Datos!M10," - ")</f>
        <v>16</v>
      </c>
      <c r="E10" s="416">
        <f>IF(ISNUMBER(D10/B10),D10/B10," - ")</f>
        <v>8</v>
      </c>
      <c r="F10" s="415">
        <f>IF(ISNUMBER(Datos!N10),Datos!N10," - ")</f>
        <v>11</v>
      </c>
      <c r="G10" s="416">
        <f>IF(ISNUMBER(F10/B10),F10/B10," - ")</f>
        <v>5.5</v>
      </c>
      <c r="H10" s="415">
        <f>IF(ISNUMBER(Datos!O10),Datos!O10," - ")</f>
        <v>18</v>
      </c>
      <c r="I10" s="416">
        <f t="shared" ref="I10:I13" si="2">IF(ISNUMBER(H10/B10),H10/B10," - ")</f>
        <v>9</v>
      </c>
    </row>
    <row r="11" spans="1:9">
      <c r="A11" s="414" t="str">
        <f>Datos!A11</f>
        <v xml:space="preserve">Jdos. Familia                                   </v>
      </c>
      <c r="B11" s="444">
        <f>Datos!AO11</f>
        <v>2</v>
      </c>
      <c r="C11" s="422">
        <f>Datos!AQ11</f>
        <v>2</v>
      </c>
      <c r="D11" s="415">
        <f>IF(ISNUMBER(Datos!M11),Datos!M11," - ")</f>
        <v>84</v>
      </c>
      <c r="E11" s="416">
        <f t="shared" si="0"/>
        <v>42</v>
      </c>
      <c r="F11" s="415">
        <f>IF(ISNUMBER(Datos!N11),Datos!N11," - ")</f>
        <v>313</v>
      </c>
      <c r="G11" s="416">
        <f t="shared" si="1"/>
        <v>156.5</v>
      </c>
      <c r="H11" s="415">
        <f>IF(ISNUMBER(Datos!O11),Datos!O11," - ")</f>
        <v>82</v>
      </c>
      <c r="I11" s="416">
        <f t="shared" si="2"/>
        <v>41</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10</v>
      </c>
      <c r="D14" s="996">
        <f>SUBTOTAL(9,D9:D13)</f>
        <v>649</v>
      </c>
      <c r="E14" s="997">
        <f t="shared" si="0"/>
        <v>64.900000000000006</v>
      </c>
      <c r="F14" s="996">
        <f>SUBTOTAL(9,F9:F13)</f>
        <v>1443</v>
      </c>
      <c r="G14" s="997">
        <f t="shared" si="1"/>
        <v>144.30000000000001</v>
      </c>
      <c r="H14" s="996">
        <f>SUBTOTAL(9,H9:H13)</f>
        <v>1239</v>
      </c>
      <c r="I14" s="997">
        <f>IF(ISNUMBER(H14/B14),H14/B14," - ")</f>
        <v>123.9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451</v>
      </c>
      <c r="E16" s="416">
        <f t="shared" ref="E16:E20" si="3">IF(ISNUMBER(D16/B16),D16/B16," - ")</f>
        <v>90.2</v>
      </c>
      <c r="F16" s="415">
        <f>IF(ISNUMBER(Datos!N16),Datos!N16," - ")</f>
        <v>1234</v>
      </c>
      <c r="G16" s="416">
        <f t="shared" ref="G16:G20" si="4">IF(ISNUMBER(F16/B16),F16/B16," - ")</f>
        <v>246.8</v>
      </c>
      <c r="H16" s="415">
        <f>IF(ISNUMBER(Datos!O16),Datos!O16," - ")</f>
        <v>76</v>
      </c>
      <c r="I16" s="416">
        <f t="shared" ref="I16:I19" si="5">IF(ISNUMBER(H16/B16),H16/B16," - ")</f>
        <v>15.2</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2</v>
      </c>
      <c r="D18" s="415">
        <f>IF(ISNUMBER(Datos!M18),Datos!M18," - ")</f>
        <v>77</v>
      </c>
      <c r="E18" s="416">
        <f>IF(ISNUMBER(D18/B18),D18/B18," - ")</f>
        <v>38.5</v>
      </c>
      <c r="F18" s="415">
        <f>IF(ISNUMBER(Datos!N18),Datos!N18," - ")</f>
        <v>315</v>
      </c>
      <c r="G18" s="416">
        <f>IF(ISNUMBER(F18/B18),F18/B18," - ")</f>
        <v>157.5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7</v>
      </c>
      <c r="D20" s="996">
        <f>SUBTOTAL(9,D16:D19)</f>
        <v>528</v>
      </c>
      <c r="E20" s="997">
        <f t="shared" si="3"/>
        <v>75.428571428571431</v>
      </c>
      <c r="F20" s="996">
        <f>SUBTOTAL(9,F16:F19)</f>
        <v>1549</v>
      </c>
      <c r="G20" s="997">
        <f t="shared" si="4"/>
        <v>221.28571428571428</v>
      </c>
      <c r="H20" s="996">
        <f>SUBTOTAL(9,H16:H19)</f>
        <v>76</v>
      </c>
      <c r="I20" s="997">
        <f>IF(ISNUMBER(H20/B20),H20/B20," - ")</f>
        <v>10.857142857142858</v>
      </c>
    </row>
    <row r="21" spans="1:9" ht="14.25" thickTop="1" thickBot="1">
      <c r="A21" s="940" t="str">
        <f>Datos!A21</f>
        <v>TOTAL JURISDICCIONES</v>
      </c>
      <c r="B21" s="941">
        <f>Datos!AP21</f>
        <v>15</v>
      </c>
      <c r="C21" s="941">
        <f>Datos!AR21</f>
        <v>15</v>
      </c>
      <c r="D21" s="941">
        <f>SUBTOTAL(9,D8:D20)</f>
        <v>1177</v>
      </c>
      <c r="E21" s="942">
        <f>IF(ISNUMBER(D21/B21),D21/B21," - ")</f>
        <v>78.466666666666669</v>
      </c>
      <c r="F21" s="941">
        <f>SUBTOTAL(9,F8:F20)</f>
        <v>2992</v>
      </c>
      <c r="G21" s="942">
        <f>IF(ISNUMBER(F21/B21),F21/B21," - ")</f>
        <v>199.46666666666667</v>
      </c>
      <c r="H21" s="941">
        <f>SUBTOTAL(9,H8:H20)</f>
        <v>1315</v>
      </c>
      <c r="I21" s="942">
        <f>IF(ISNUMBER(H21/B21),H21/B21," - ")</f>
        <v>87.666666666666671</v>
      </c>
    </row>
    <row r="24" spans="1:9">
      <c r="A24" s="403" t="str">
        <f>Criterios!A4</f>
        <v>Fecha Informe: 06 jun. 2023</v>
      </c>
    </row>
    <row r="29" spans="1:9">
      <c r="A29" s="426"/>
    </row>
  </sheetData>
  <sheetProtection algorithmName="SHA-512" hashValue="4ukwlxJleM52AZ+lHjY8P0BX31axMaM9kRVOJxbe3J2Gk4jWwQ/4dNSPE5GQkgfcMf8AvMDYVSU2B0vNxL61rg==" saltValue="ht9SpltrOwvUVBbuZFFp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ELCHE-ELX</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488</v>
      </c>
      <c r="C9" s="451">
        <f>IF(ISNUMBER(Datos!Q9),Datos!Q9," - ")</f>
        <v>632</v>
      </c>
      <c r="D9" s="420">
        <f>IF(ISNUMBER(Datos!R9),Datos!R9," - ")</f>
        <v>12567</v>
      </c>
    </row>
    <row r="10" spans="1:4">
      <c r="A10" s="414" t="str">
        <f>Datos!A10</f>
        <v>Jdos. Violencia contra la mujer</v>
      </c>
      <c r="B10" s="450">
        <f>IF(ISNUMBER(Datos!P10),Datos!P10," - ")</f>
        <v>23</v>
      </c>
      <c r="C10" s="451">
        <f>IF(ISNUMBER(Datos!Q10),Datos!Q10," - ")</f>
        <v>8</v>
      </c>
      <c r="D10" s="420">
        <f>IF(ISNUMBER(Datos!R10),Datos!R10," - ")</f>
        <v>181</v>
      </c>
    </row>
    <row r="11" spans="1:4">
      <c r="A11" s="414" t="str">
        <f>Datos!A11</f>
        <v xml:space="preserve">Jdos. Familia                                   </v>
      </c>
      <c r="B11" s="450">
        <f>IF(ISNUMBER(Datos!P11),Datos!P11," - ")</f>
        <v>43</v>
      </c>
      <c r="C11" s="451">
        <f>IF(ISNUMBER(Datos!Q11),Datos!Q11," - ")</f>
        <v>94</v>
      </c>
      <c r="D11" s="420">
        <f>IF(ISNUMBER(Datos!R11),Datos!R11," - ")</f>
        <v>1472</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554</v>
      </c>
      <c r="C14" s="1000">
        <f>SUBTOTAL(9,C9:C13)</f>
        <v>734</v>
      </c>
      <c r="D14" s="998">
        <f>SUBTOTAL(9,D9:D13)</f>
        <v>14220</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173</v>
      </c>
      <c r="C16" s="451">
        <f>IF(ISNUMBER(Datos!Q16),Datos!Q16," - ")</f>
        <v>136</v>
      </c>
      <c r="D16" s="420">
        <f>IF(ISNUMBER(Datos!R16),Datos!R16," - ")</f>
        <v>494</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3</v>
      </c>
      <c r="C18" s="451">
        <f>IF(ISNUMBER(Datos!Q18),Datos!Q18," - ")</f>
        <v>0</v>
      </c>
      <c r="D18" s="420">
        <f>IF(ISNUMBER(Datos!R18),Datos!R18," - ")</f>
        <v>32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176</v>
      </c>
      <c r="C20" s="1000">
        <f>SUBTOTAL(9,C16:C19)</f>
        <v>136</v>
      </c>
      <c r="D20" s="998">
        <f>SUBTOTAL(9,D16:D19)</f>
        <v>526</v>
      </c>
    </row>
    <row r="21" spans="1:4" ht="16.5" customHeight="1" thickTop="1" thickBot="1">
      <c r="A21" s="940" t="str">
        <f>Datos!A21</f>
        <v>TOTAL JURISDICCIONES</v>
      </c>
      <c r="B21" s="945">
        <f>SUBTOTAL(9,B8:B20)</f>
        <v>730</v>
      </c>
      <c r="C21" s="946">
        <f>SUBTOTAL(9,C8:C20)</f>
        <v>870</v>
      </c>
      <c r="D21" s="947">
        <f>SUBTOTAL(9,D8:D20)</f>
        <v>14746</v>
      </c>
    </row>
    <row r="22" spans="1:4" ht="7.5" customHeight="1"/>
    <row r="23" spans="1:4" ht="6" customHeight="1"/>
    <row r="24" spans="1:4">
      <c r="A24" s="403" t="str">
        <f>Criterios!A4</f>
        <v>Fecha Informe: 06 jun. 2023</v>
      </c>
    </row>
    <row r="29" spans="1:4">
      <c r="A29" s="426"/>
    </row>
  </sheetData>
  <sheetProtection algorithmName="SHA-512" hashValue="F6MW/jRVIiW7DT6EdvPBVHsaeyyv/MgbsZHsj5zCmX/eMX55kse1oHwCpvun4y76rgpOf8DkD4IDhHwXwStoew==" saltValue="3IEsRm2EQP5dfMvrOZcd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ELCHE-ELX</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0.30209410548086868</v>
      </c>
      <c r="C9" s="473">
        <f>IF(ISNUMBER(
   IF(J_V="SI",(Datos!J9-Datos!T9)/Datos!T9,(Datos!J9+Datos!Z9-(Datos!T9+Datos!AH9))/(Datos!T9+Datos!AH9))
     ),IF(J_V="SI",(Datos!J9-Datos!T9)/Datos!T9,(Datos!J9+Datos!Z9-(Datos!T9+Datos!AH9))/(Datos!T9+Datos!AH9))," - ")</f>
        <v>-0.41252194265652431</v>
      </c>
      <c r="D9" s="473">
        <f>IF(ISNUMBER(
   IF(J_V="SI",(Datos!K9-Datos!U9)/Datos!U9,(Datos!K9+Datos!AA9-(Datos!U9+Datos!AI9))/(Datos!U9+Datos!AI9))
     ),IF(J_V="SI",(Datos!K9-Datos!U9)/Datos!U9,(Datos!K9+Datos!AA9-(Datos!U9+Datos!AI9))/(Datos!U9+Datos!AI9))," - ")</f>
        <v>-8.697146785837058E-2</v>
      </c>
      <c r="E9" s="473">
        <f>IF(ISNUMBER(
   IF(J_V="SI",(Datos!L9-Datos!V9)/Datos!V9,(Datos!L9+Datos!AB9-(Datos!V9+Datos!AJ9))/(Datos!V9+Datos!AJ9))
     ),IF(J_V="SI",(Datos!L9-Datos!V9)/Datos!V9,(Datos!L9+Datos!AB9-(Datos!V9+Datos!AJ9))/(Datos!V9+Datos!AJ9))," - ")</f>
        <v>0.11181508858383199</v>
      </c>
      <c r="F9" s="473">
        <f>IF(ISNUMBER((Datos!M9-Datos!W9)/Datos!W9),(Datos!M9-Datos!W9)/Datos!W9," - ")</f>
        <v>-5.434782608695652E-3</v>
      </c>
      <c r="G9" s="474">
        <f>IF(ISNUMBER((Datos!N9-Datos!X9)/Datos!X9),(Datos!N9-Datos!X9)/Datos!X9," - ")</f>
        <v>6.2949640287769783E-3</v>
      </c>
      <c r="H9" s="472">
        <f>IF(ISNUMBER(((NºAsuntos!G9/NºAsuntos!E9)-Datos!BD9)/Datos!BD9),((NºAsuntos!G9/NºAsuntos!E9)-Datos!BD9)/Datos!BD9," - ")</f>
        <v>0.55414916477096077</v>
      </c>
      <c r="I9" s="473">
        <f>IF(ISNUMBER(((NºAsuntos!I9/NºAsuntos!G9)-Datos!BE9)/Datos!BE9),((NºAsuntos!I9/NºAsuntos!G9)-Datos!BE9)/Datos!BE9," - ")</f>
        <v>0.21772217345269862</v>
      </c>
      <c r="J9" s="478">
        <f>IF(ISNUMBER((('Resol  Asuntos'!D9/NºAsuntos!G9)-Datos!BF9)/Datos!BF9),(('Resol  Asuntos'!D9/NºAsuntos!G9)-Datos!BF9)/Datos!BF9," - ")</f>
        <v>-0.45926658522579528</v>
      </c>
      <c r="K9" s="479">
        <f>IF(ISNUMBER((((NºAsuntos!C9+NºAsuntos!E9)/NºAsuntos!G9)-Datos!BG9)/Datos!BG9),(((NºAsuntos!C9+NºAsuntos!E9)/NºAsuntos!G9)-Datos!BG9)/Datos!BG9," - ")</f>
        <v>0.18628187440455748</v>
      </c>
    </row>
    <row r="10" spans="1:11">
      <c r="A10" s="414" t="str">
        <f>Datos!A10</f>
        <v>Jdos. Violencia contra la mujer</v>
      </c>
      <c r="B10" s="472">
        <f>IF(ISNUMBER((Datos!I10-Datos!S10)/Datos!S10),(Datos!I10-Datos!S10)/Datos!S10," - ")</f>
        <v>-0.21276595744680851</v>
      </c>
      <c r="C10" s="473">
        <f>IF(ISNUMBER((Datos!J10-Datos!T10)/Datos!T10),(Datos!J10-Datos!T10)/Datos!T10," - ")</f>
        <v>-0.21428571428571427</v>
      </c>
      <c r="D10" s="473">
        <f>IF(ISNUMBER((Datos!K10-Datos!U10)/Datos!U10),(Datos!K10-Datos!U10)/Datos!U10," - ")</f>
        <v>-0.55952380952380953</v>
      </c>
      <c r="E10" s="473">
        <f>IF(ISNUMBER((Datos!L10-Datos!V10)/Datos!V10),(Datos!L10-Datos!V10)/Datos!V10," - ")</f>
        <v>1.5748031496062992E-2</v>
      </c>
      <c r="F10" s="473">
        <f>IF(ISNUMBER((Datos!M10-Datos!W10)/Datos!W10),(Datos!M10-Datos!W10)/Datos!W10," - ")</f>
        <v>-0.54285714285714282</v>
      </c>
      <c r="G10" s="474">
        <f>IF(ISNUMBER((Datos!N10-Datos!X10)/Datos!X10),(Datos!N10-Datos!X10)/Datos!X10," - ")</f>
        <v>-0.72499999999999998</v>
      </c>
      <c r="H10" s="472">
        <f>IF(ISNUMBER(((NºAsuntos!G10/NºAsuntos!E10)-Datos!BD10)/Datos!BD10),((NºAsuntos!G10/NºAsuntos!E10)-Datos!BD10)/Datos!BD10," - ")</f>
        <v>-0.43939393939393939</v>
      </c>
      <c r="I10" s="473">
        <f>IF(ISNUMBER(((NºAsuntos!I10/NºAsuntos!G10)-Datos!BE10)/Datos!BE10),((NºAsuntos!I10/NºAsuntos!G10)-Datos!BE10)/Datos!BE10," - ")</f>
        <v>1.306022557991062</v>
      </c>
      <c r="J10" s="478">
        <f>IF(ISNUMBER((('Resol  Asuntos'!D10/NºAsuntos!G10)-Datos!BF10)/Datos!BF10),(('Resol  Asuntos'!D10/NºAsuntos!G10)-Datos!BF10)/Datos!BF10," - ")</f>
        <v>3.7837837837837847E-2</v>
      </c>
      <c r="K10" s="479">
        <f>IF(ISNUMBER((((NºAsuntos!C10+NºAsuntos!E10)/NºAsuntos!G10)-Datos!BG10)/Datos!BG10),(((NºAsuntos!C10+NºAsuntos!E10)/NºAsuntos!G10)-Datos!BG10)/Datos!BG10," - ")</f>
        <v>0.78608940694248763</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0.21185185185185185</v>
      </c>
      <c r="C11" s="473">
        <f>IF(ISNUMBER(
   IF(J_V="SI",(Datos!J11-Datos!T11)/Datos!T11,(Datos!J11+Datos!Z11-(Datos!T11+Datos!AH11))/(Datos!T11+Datos!AH11))
     ),IF(J_V="SI",(Datos!J11-Datos!T11)/Datos!T11,(Datos!J11+Datos!Z11-(Datos!T11+Datos!AH11))/(Datos!T11+Datos!AH11))," - ")</f>
        <v>-0.17404129793510326</v>
      </c>
      <c r="D11" s="473">
        <f>IF(ISNUMBER(
   IF(J_V="SI",(Datos!K11-Datos!U11)/Datos!U11,(Datos!K11+Datos!AA11-(Datos!U11+Datos!AI11))/(Datos!U11+Datos!AI11))
     ),IF(J_V="SI",(Datos!K11-Datos!U11)/Datos!U11,(Datos!K11+Datos!AA11-(Datos!U11+Datos!AI11))/(Datos!U11+Datos!AI11))," - ")</f>
        <v>-0.33020344287949921</v>
      </c>
      <c r="E11" s="473">
        <f>IF(ISNUMBER(
   IF(J_V="SI",(Datos!L11-Datos!V11)/Datos!V11,(Datos!L11+Datos!AB11-(Datos!V11+Datos!AJ11))/(Datos!V11+Datos!AJ11))
     ),IF(J_V="SI",(Datos!L11-Datos!V11)/Datos!V11,(Datos!L11+Datos!AB11-(Datos!V11+Datos!AJ11))/(Datos!V11+Datos!AJ11))," - ")</f>
        <v>0.30578512396694213</v>
      </c>
      <c r="F11" s="473">
        <f>IF(ISNUMBER((Datos!M11-Datos!W11)/Datos!W11),(Datos!M11-Datos!W11)/Datos!W11," - ")</f>
        <v>-0.6093023255813953</v>
      </c>
      <c r="G11" s="474">
        <f>IF(ISNUMBER((Datos!N11-Datos!X11)/Datos!X11),(Datos!N11-Datos!X11)/Datos!X11," - ")</f>
        <v>0.16356877323420074</v>
      </c>
      <c r="H11" s="472">
        <f>IF(ISNUMBER(((NºAsuntos!G11/NºAsuntos!E11)-Datos!BD11)/Datos!BD11),((NºAsuntos!G11/NºAsuntos!E11)-Datos!BD11)/Datos!BD11," - ")</f>
        <v>-0.1890677397719652</v>
      </c>
      <c r="I11" s="473">
        <f>IF(ISNUMBER(((NºAsuntos!I11/NºAsuntos!G11)-Datos!BE11)/Datos!BE11),((NºAsuntos!I11/NºAsuntos!G11)-Datos!BE11)/Datos!BE11," - ")</f>
        <v>0.94952498648335515</v>
      </c>
      <c r="J11" s="478">
        <f>IF(ISNUMBER((('Resol  Asuntos'!D11/NºAsuntos!G11)-Datos!BF11)/Datos!BF11),(('Resol  Asuntos'!D11/NºAsuntos!G11)-Datos!BF11)/Datos!BF11," - ")</f>
        <v>-0.53378730500642746</v>
      </c>
      <c r="K11" s="479">
        <f>IF(ISNUMBER((((NºAsuntos!C11+NºAsuntos!E11)/NºAsuntos!G11)-Datos!BG11)/Datos!BG11),(((NºAsuntos!C11+NºAsuntos!E11)/NºAsuntos!G11)-Datos!BG11)/Datos!BG11," - ")</f>
        <v>0.52057732556934744</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0.28648269410664173</v>
      </c>
      <c r="C14" s="1002">
        <f>IF(ISNUMBER(
   IF(J_V="SI",(Datos!J14-Datos!T14)/Datos!T14,(Datos!J14+Datos!Z14-(Datos!T14+Datos!AH14))/(Datos!T14+Datos!AH14))
     ),IF(J_V="SI",(Datos!J14-Datos!T14)/Datos!T14,(Datos!J14+Datos!Z14-(Datos!T14+Datos!AH14))/(Datos!T14+Datos!AH14))," - ")</f>
        <v>-0.37037926068170907</v>
      </c>
      <c r="D14" s="1002">
        <f>IF(ISNUMBER(
   IF(J_V="SI",(Datos!K14-Datos!U14)/Datos!U14,(Datos!K14+Datos!AA14-(Datos!U14+Datos!AI14))/(Datos!U14+Datos!AI14))
     ),IF(J_V="SI",(Datos!K14-Datos!U14)/Datos!U14,(Datos!K14+Datos!AA14-(Datos!U14+Datos!AI14))/(Datos!U14+Datos!AI14))," - ")</f>
        <v>-0.14069383259911894</v>
      </c>
      <c r="E14" s="1002">
        <f>IF(ISNUMBER(
   IF(J_V="SI",(Datos!L14-Datos!V14)/Datos!V14,(Datos!L14+Datos!AB14-(Datos!V14+Datos!AJ14))/(Datos!V14+Datos!AJ14))
     ),IF(J_V="SI",(Datos!L14-Datos!V14)/Datos!V14,(Datos!L14+Datos!AB14-(Datos!V14+Datos!AJ14))/(Datos!V14+Datos!AJ14))," - ")</f>
        <v>0.12553327645051193</v>
      </c>
      <c r="F14" s="1003">
        <f>IF(ISNUMBER((Datos!M14-Datos!W14)/Datos!W14),(Datos!M14-Datos!W14)/Datos!W14," - ")</f>
        <v>-0.19077306733167082</v>
      </c>
      <c r="G14" s="1004">
        <f>IF(ISNUMBER((Datos!N14-Datos!X14)/Datos!X14),(Datos!N14-Datos!X14)/Datos!X14," - ")</f>
        <v>1.5482054890921885E-2</v>
      </c>
      <c r="H14" s="1004">
        <f>IF(ISNUMBER(((NºAsuntos!G14/NºAsuntos!E14)-Datos!BD14)/Datos!BD14),((NºAsuntos!G14/NºAsuntos!E14)-Datos!BD14)/Datos!BD14," - ")</f>
        <v>0.36479965436220763</v>
      </c>
      <c r="I14" s="1004">
        <f>IF(ISNUMBER(((NºAsuntos!I14/NºAsuntos!G14)-Datos!BE14)/Datos!BE14),((NºAsuntos!I14/NºAsuntos!G14)-Datos!BE14)/Datos!BE14," - ")</f>
        <v>0.30981636016285147</v>
      </c>
      <c r="J14" s="1004">
        <f>IF(ISNUMBER((('Resol  Asuntos'!D14/NºAsuntos!G14)-Datos!BF14)/Datos!BF14),(('Resol  Asuntos'!D14/NºAsuntos!G14)-Datos!BF14)/Datos!BF14," - ")</f>
        <v>-0.46662394531667195</v>
      </c>
      <c r="K14" s="1004">
        <f>IF(ISNUMBER((((NºAsuntos!C14+NºAsuntos!E14)/NºAsuntos!G14)-Datos!BG14)/Datos!BG14),(((NºAsuntos!C14+NºAsuntos!E14)/NºAsuntos!G14)-Datos!BG14)/Datos!BG14," - ")</f>
        <v>0.24672239689951428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0.16453100973859558</v>
      </c>
      <c r="C16" s="473">
        <f>IF(ISNUMBER(
   IF(D_I="SI",(Datos!J16-Datos!T16)/Datos!T16,(Datos!J16+Datos!AD16-(Datos!T16+Datos!AL16))/(Datos!T16+Datos!AL16))
     ),IF(D_I="SI",(Datos!J16-Datos!T16)/Datos!T16,(Datos!J16+Datos!AD16-(Datos!T16+Datos!AL16))/(Datos!T16+Datos!AL16))," - ")</f>
        <v>-1.0189228529839884E-2</v>
      </c>
      <c r="D16" s="473">
        <f>IF(ISNUMBER(
   IF(D_I="SI",(Datos!K16-Datos!U16)/Datos!U16,(Datos!K16+Datos!AE16-(Datos!U16+Datos!AM16))/(Datos!U16+Datos!AM16))
     ),IF(D_I="SI",(Datos!K16-Datos!U16)/Datos!U16,(Datos!K16+Datos!AE16-(Datos!U16+Datos!AM16))/(Datos!U16+Datos!AM16))," - ")</f>
        <v>-0.15987882867721306</v>
      </c>
      <c r="E16" s="473">
        <f>IF(ISNUMBER(
   IF(D_I="SI",(Datos!L16-Datos!V16)/Datos!V16,(Datos!L16+Datos!AF16-(Datos!V16+Datos!AN16))/(Datos!V16+Datos!AN16))
     ),IF(D_I="SI",(Datos!L16-Datos!V16)/Datos!V16,(Datos!L16+Datos!AF16-(Datos!V16+Datos!AN16))/(Datos!V16+Datos!AN16))," - ")</f>
        <v>0.4404963338973491</v>
      </c>
      <c r="F16" s="473">
        <f>IF(ISNUMBER((Datos!M16-Datos!W16)/Datos!W16),(Datos!M16-Datos!W16)/Datos!W16," - ")</f>
        <v>-0.14095238095238094</v>
      </c>
      <c r="G16" s="474">
        <f>IF(ISNUMBER((Datos!N16-Datos!X16)/Datos!X16),(Datos!N16-Datos!X16)/Datos!X16," - ")</f>
        <v>-6.7271352985638702E-2</v>
      </c>
      <c r="H16" s="472">
        <f>IF(ISNUMBER(((NºAsuntos!G16/NºAsuntos!E16)-Datos!BD16)/Datos!BD16),((NºAsuntos!G16/NºAsuntos!E16)-Datos!BD16)/Datos!BD16," - ")</f>
        <v>-0.15123052250183144</v>
      </c>
      <c r="I16" s="473">
        <f>IF(ISNUMBER(((NºAsuntos!I16/NºAsuntos!G16)-Datos!BE16)/Datos!BE16),((NºAsuntos!I16/NºAsuntos!G16)-Datos!BE16)/Datos!BE16," - ")</f>
        <v>0.71462925000361543</v>
      </c>
      <c r="J16" s="478">
        <f>IF(ISNUMBER((('Resol  Asuntos'!D16/NºAsuntos!G16)-Datos!BF16)/Datos!BF16),(('Resol  Asuntos'!D16/NºAsuntos!G16)-Datos!BF16)/Datos!BF16," - ")</f>
        <v>2.2528235653235605E-2</v>
      </c>
      <c r="K16" s="479">
        <f>IF(ISNUMBER((((NºAsuntos!C16+NºAsuntos!E16)/NºAsuntos!G16)-Datos!BG16)/Datos!BG16),(((NºAsuntos!C16+NºAsuntos!E16)/NºAsuntos!G16)-Datos!BG16)/Datos!BG16," - ")</f>
        <v>0.2645243668865716</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0.36945812807881773</v>
      </c>
      <c r="C18" s="473">
        <f>IF(ISNUMBER(
   IF(D_I="SI",(Datos!J18-Datos!T18)/Datos!T18,(Datos!J18+Datos!AD18-(Datos!T18+Datos!AL18))/(Datos!T18+Datos!AL18))
     ),IF(D_I="SI",(Datos!J18-Datos!T18)/Datos!T18,(Datos!J18+Datos!AD18-(Datos!T18+Datos!AL18))/(Datos!T18+Datos!AL18))," - ")</f>
        <v>0.28645833333333331</v>
      </c>
      <c r="D18" s="473">
        <f>IF(ISNUMBER(
   IF(D_I="SI",(Datos!K18-Datos!U18)/Datos!U18,(Datos!K18+Datos!AE18-(Datos!U18+Datos!AM18))/(Datos!U18+Datos!AM18))
     ),IF(D_I="SI",(Datos!K18-Datos!U18)/Datos!U18,(Datos!K18+Datos!AE18-(Datos!U18+Datos!AM18))/(Datos!U18+Datos!AM18))," - ")</f>
        <v>-1.2224938875305624E-2</v>
      </c>
      <c r="E18" s="473">
        <f>IF(ISNUMBER(
   IF(D_I="SI",(Datos!L18-Datos!V18)/Datos!V18,(Datos!L18+Datos!AF18-(Datos!V18+Datos!AN18))/(Datos!V18+Datos!AN18))
     ),IF(D_I="SI",(Datos!L18-Datos!V18)/Datos!V18,(Datos!L18+Datos!AF18-(Datos!V18+Datos!AN18))/(Datos!V18+Datos!AN18))," - ")</f>
        <v>1.0674157303370786</v>
      </c>
      <c r="F18" s="473">
        <f>IF(ISNUMBER((Datos!M18-Datos!W18)/Datos!W18),(Datos!M18-Datos!W18)/Datos!W18," - ")</f>
        <v>0.18461538461538463</v>
      </c>
      <c r="G18" s="474">
        <f>IF(ISNUMBER((Datos!N18-Datos!X18)/Datos!X18),(Datos!N18-Datos!X18)/Datos!X18," - ")</f>
        <v>0.47887323943661969</v>
      </c>
      <c r="H18" s="472">
        <f>IF(ISNUMBER(((NºAsuntos!G18/NºAsuntos!E18)-Datos!BD18)/Datos!BD18),((NºAsuntos!G18/NºAsuntos!E18)-Datos!BD18)/Datos!BD18," - ")</f>
        <v>-0.23217485127149273</v>
      </c>
      <c r="I18" s="473">
        <f>IF(ISNUMBER(((NºAsuntos!I18/NºAsuntos!G18)-Datos!BE18)/Datos!BE18),((NºAsuntos!I18/NºAsuntos!G18)-Datos!BE18)/Datos!BE18," - ")</f>
        <v>1.0930025586828347</v>
      </c>
      <c r="J18" s="478">
        <f>IF(ISNUMBER((('Resol  Asuntos'!D18/NºAsuntos!G18)-Datos!BF18)/Datos!BF18),(('Resol  Asuntos'!D18/NºAsuntos!G18)-Datos!BF18)/Datos!BF18," - ")</f>
        <v>0.19927646610814923</v>
      </c>
      <c r="K18" s="479">
        <f>IF(ISNUMBER((((NºAsuntos!C18+NºAsuntos!E18)/NºAsuntos!G18)-Datos!BG18)/Datos!BG18),(((NºAsuntos!C18+NºAsuntos!E18)/NºAsuntos!G18)-Datos!BG18)/Datos!BG18," - ")</f>
        <v>0.33143859530757169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0.18384401114206128</v>
      </c>
      <c r="C20" s="1002">
        <f>IF(ISNUMBER(
   IF(Criterios!B14="SI",(Datos!J20-Datos!T20)/Datos!T20,(Datos!J20+Datos!AD20-(Datos!T20+Datos!AL20))/(Datos!T20+Datos!AL20))
     ),IF(Criterios!B14="SI",(Datos!J20-Datos!T20)/Datos!T20,(Datos!J20+Datos!AD20-(Datos!T20+Datos!AL20))/(Datos!T20+Datos!AL20))," - ")</f>
        <v>2.6181353767560665E-2</v>
      </c>
      <c r="D20" s="1002">
        <f>IF(ISNUMBER(
   IF(Criterios!B14="SI",(Datos!K20-Datos!U20)/Datos!U20,(Datos!K20+Datos!AE20-(Datos!U20+Datos!AM20))/(Datos!U20+Datos!AM20))
     ),IF(Criterios!B14="SI",(Datos!K20-Datos!U20)/Datos!U20,(Datos!K20+Datos!AE20-(Datos!U20+Datos!AM20))/(Datos!U20+Datos!AM20))," - ")</f>
        <v>-0.14201183431952663</v>
      </c>
      <c r="E20" s="1002">
        <f>IF(ISNUMBER(
   IF(Criterios!B14="SI",(Datos!L20-Datos!V20)/Datos!V20,(Datos!L20+Datos!AF20-(Datos!V20+Datos!AN20))/(Datos!V20+Datos!AN20))
     ),IF(Criterios!B14="SI",(Datos!L20-Datos!V20)/Datos!V20,(Datos!L20+Datos!AF20-(Datos!V20+Datos!AN20))/(Datos!V20+Datos!AN20))," - ")</f>
        <v>0.49769349051768325</v>
      </c>
      <c r="F20" s="1003">
        <f>IF(ISNUMBER((Datos!M20-Datos!W20)/Datos!W20),(Datos!M20-Datos!W20)/Datos!W20," - ")</f>
        <v>-0.10508474576271186</v>
      </c>
      <c r="G20" s="1004">
        <f>IF(ISNUMBER((Datos!N20-Datos!X20)/Datos!X20),(Datos!N20-Datos!X20)/Datos!X20," - ")</f>
        <v>8.4635416666666661E-3</v>
      </c>
      <c r="H20" s="1004">
        <f>IF(ISNUMBER(((NºAsuntos!G20/NºAsuntos!E20)-Datos!BD20)/Datos!BD20),((NºAsuntos!G20/NºAsuntos!E20)-Datos!BD20)/Datos!BD20," - ")</f>
        <v>-0.16390201153975029</v>
      </c>
      <c r="I20" s="1004">
        <f>IF(ISNUMBER(((NºAsuntos!I20/NºAsuntos!G20)-Datos!BE20)/Datos!BE20),((NºAsuntos!I20/NºAsuntos!G20)-Datos!BE20)/Datos!BE20," - ")</f>
        <v>0.74558758549992032</v>
      </c>
      <c r="J20" s="1004">
        <f>IF(ISNUMBER((('Resol  Asuntos'!D20/NºAsuntos!G20)-Datos!BF20)/Datos!BF20),(('Resol  Asuntos'!D20/NºAsuntos!G20)-Datos!BF20)/Datos!BF20," - ")</f>
        <v>4.303915838690827E-2</v>
      </c>
      <c r="K20" s="1004">
        <f>IF(ISNUMBER((((NºAsuntos!C20+NºAsuntos!E20)/NºAsuntos!G20)-Datos!BG20)/Datos!BG20),(((NºAsuntos!C20+NºAsuntos!E20)/NºAsuntos!G20)-Datos!BG20)/Datos!BG20," - ")</f>
        <v>0.27091210353960371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0.26583224360171864</v>
      </c>
      <c r="C21" s="949">
        <f>IF(ISNUMBER(
   IF(J_V="SI",(Datos!J21-Datos!T21)/Datos!T21,(Datos!J21+Datos!Z21-(Datos!T21+Datos!AH21))/(Datos!T21+Datos!AH21))
     ),IF(J_V="SI",(Datos!J21-Datos!T21)/Datos!T21,(Datos!J21+Datos!Z21-(Datos!T21+Datos!AH21))/(Datos!T21+Datos!AH21))," - ")</f>
        <v>-0.20019183337900795</v>
      </c>
      <c r="D21" s="949">
        <f>IF(ISNUMBER(
   IF(J_V="SI",(Datos!K21-Datos!U21)/Datos!U21,(Datos!K21+Datos!AA21-(Datos!U21+Datos!AI21))/(Datos!U21+Datos!AI21))
     ),IF(J_V="SI",(Datos!K21-Datos!U21)/Datos!U21,(Datos!K21+Datos!AA21-(Datos!U21+Datos!AI21))/(Datos!U21+Datos!AI21))," - ")</f>
        <v>-0.14132915002852253</v>
      </c>
      <c r="E21" s="949">
        <f>IF(ISNUMBER(
   IF(J_V="SI",(Datos!L21-Datos!V21)/Datos!V21,(Datos!L21+Datos!AB21-(Datos!V21+Datos!AJ21))/(Datos!V21+Datos!AJ21))
     ),IF(J_V="SI",(Datos!L21-Datos!V21)/Datos!V21,(Datos!L21+Datos!AB21-(Datos!V21+Datos!AJ21))/(Datos!V21+Datos!AJ21))," - ")</f>
        <v>0.1896353844795621</v>
      </c>
      <c r="F21" s="950">
        <f>IF(ISNUMBER((Datos!M21-Datos!W21)/Datos!W21),(Datos!M21-Datos!W21)/Datos!W21," - ")</f>
        <v>-0.15445402298850575</v>
      </c>
      <c r="G21" s="951">
        <f>IF(ISNUMBER((Datos!N21-Datos!X21)/Datos!X21),(Datos!N21-Datos!X21)/Datos!X21," - ")</f>
        <v>1.1836320595197836E-2</v>
      </c>
      <c r="H21" s="952">
        <f>IF(ISNUMBER((Tasas!B21-Datos!BD21)/Datos!BD21),(Tasas!B21-Datos!BD21)/Datos!BD21," - ")</f>
        <v>7.3596001900264302E-2</v>
      </c>
      <c r="I21" s="953">
        <f>IF(ISNUMBER((Tasas!C21-Datos!BE21)/Datos!BE21),(Tasas!C21-Datos!BE21)/Datos!BE21," - ")</f>
        <v>0.38543818567857319</v>
      </c>
      <c r="J21" s="954">
        <f>IF(ISNUMBER((Tasas!D21-Datos!BF21)/Datos!BF21),(Tasas!D21-Datos!BF21)/Datos!BF21," - ")</f>
        <v>-0.31668836705296838</v>
      </c>
      <c r="K21" s="954">
        <f>IF(ISNUMBER((Tasas!E21-Datos!BG21)/Datos!BG21),(Tasas!E21-Datos!BG21)/Datos!BG21," - ")</f>
        <v>0.25417946761982918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zdYUGfQDwT8RFGERoc3oqG6ZJZtRMiT2hAUzvF/YjPOfMAuNa8Hv85v2YXNoWjkUVU5k5YwAx2dkZd/jrI9Cw==" saltValue="6eZ0rEeG6NmuhMLFxSjEv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ELCHE-ELX</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1.3227091633466135</v>
      </c>
      <c r="C9" s="460">
        <f>IF(ISNUMBER(NºAsuntos!I9/NºAsuntos!G9),NºAsuntos!I9/NºAsuntos!G9," - ")</f>
        <v>3.5677710843373496</v>
      </c>
      <c r="D9" s="461">
        <f>IF(ISNUMBER('Resol  Asuntos'!D9/NºAsuntos!G9),'Resol  Asuntos'!D9/NºAsuntos!G9," - ")</f>
        <v>0.20670180722891565</v>
      </c>
      <c r="E9" s="462">
        <f>IF(ISNUMBER((NºAsuntos!C9+NºAsuntos!E9)/NºAsuntos!G9),(NºAsuntos!C9+NºAsuntos!E9)/NºAsuntos!G9," - ")</f>
        <v>4.5485692771084336</v>
      </c>
      <c r="G9" s="480"/>
    </row>
    <row r="10" spans="1:7">
      <c r="A10" s="414" t="str">
        <f>Datos!A10</f>
        <v>Jdos. Violencia contra la mujer</v>
      </c>
      <c r="B10" s="459">
        <f>IF(ISNUMBER(NºAsuntos!G10/NºAsuntos!E10),NºAsuntos!G10/NºAsuntos!E10," - ")</f>
        <v>0.67272727272727273</v>
      </c>
      <c r="C10" s="460">
        <f>IF(ISNUMBER(NºAsuntos!I10/NºAsuntos!G10),NºAsuntos!I10/NºAsuntos!G10," - ")</f>
        <v>3.4864864864864864</v>
      </c>
      <c r="D10" s="461">
        <f>IF(ISNUMBER('Resol  Asuntos'!D10/NºAsuntos!G10),'Resol  Asuntos'!D10/NºAsuntos!G10," - ")</f>
        <v>0.43243243243243246</v>
      </c>
      <c r="E10" s="462">
        <f>IF(ISNUMBER((NºAsuntos!C10+NºAsuntos!E10)/NºAsuntos!G10),(NºAsuntos!C10+NºAsuntos!E10)/NºAsuntos!G10," - ")</f>
        <v>4.4864864864864868</v>
      </c>
      <c r="G10" s="480"/>
    </row>
    <row r="11" spans="1:7">
      <c r="A11" s="414" t="str">
        <f>Datos!A11</f>
        <v xml:space="preserve">Jdos. Familia                                   </v>
      </c>
      <c r="B11" s="459">
        <f>IF(ISNUMBER(NºAsuntos!G11/NºAsuntos!E11),NºAsuntos!G11/NºAsuntos!E11," - ")</f>
        <v>0.76428571428571423</v>
      </c>
      <c r="C11" s="460">
        <f>IF(ISNUMBER(NºAsuntos!I11/NºAsuntos!G11),NºAsuntos!I11/NºAsuntos!G11," - ")</f>
        <v>2.2149532710280373</v>
      </c>
      <c r="D11" s="461">
        <f>IF(ISNUMBER('Resol  Asuntos'!D11/NºAsuntos!G11),'Resol  Asuntos'!D11/NºAsuntos!G11," - ")</f>
        <v>0.19626168224299065</v>
      </c>
      <c r="E11" s="462">
        <f>IF(ISNUMBER((NºAsuntos!C11+NºAsuntos!E11)/NºAsuntos!G11),(NºAsuntos!C11+NºAsuntos!E11)/NºAsuntos!G11," - ")</f>
        <v>3.2196261682242993</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1.1898589401448723</v>
      </c>
      <c r="C14" s="1006">
        <f>IF(ISNUMBER(NºAsuntos!I14/NºAsuntos!G14),NºAsuntos!I14/NºAsuntos!G14," - ")</f>
        <v>3.3812880487023391</v>
      </c>
      <c r="D14" s="1007">
        <f>IF(ISNUMBER('Resol  Asuntos'!D14/NºAsuntos!G14),'Resol  Asuntos'!D14/NºAsuntos!G14," - ")</f>
        <v>0.20794617109900673</v>
      </c>
      <c r="E14" s="1008">
        <f>IF(ISNUMBER((NºAsuntos!C14+NºAsuntos!E14)/NºAsuntos!G14),(NºAsuntos!C14+NºAsuntos!E14)/NºAsuntos!G14," - ")</f>
        <v>4.3655879525793013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0.91764705882352937</v>
      </c>
      <c r="C16" s="460">
        <f>IF(ISNUMBER(NºAsuntos!I16/NºAsuntos!G16),NºAsuntos!I16/NºAsuntos!G16," - ")</f>
        <v>1.0232371794871795</v>
      </c>
      <c r="D16" s="461">
        <f>IF(ISNUMBER('Resol  Asuntos'!D16/NºAsuntos!G16),'Resol  Asuntos'!D16/NºAsuntos!G16," - ")</f>
        <v>0.18068910256410256</v>
      </c>
      <c r="E16" s="462">
        <f>IF(ISNUMBER((NºAsuntos!C16+NºAsuntos!E16)/NºAsuntos!G16),(NºAsuntos!C16+NºAsuntos!E16)/NºAsuntos!G16," - ")</f>
        <v>2</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0.81781376518218618</v>
      </c>
      <c r="C18" s="460">
        <f>IF(ISNUMBER(NºAsuntos!I18/NºAsuntos!G18),NºAsuntos!I18/NºAsuntos!G18," - ")</f>
        <v>0.91089108910891092</v>
      </c>
      <c r="D18" s="461">
        <f>IF(ISNUMBER('Resol  Asuntos'!D18/NºAsuntos!G18),'Resol  Asuntos'!D18/NºAsuntos!G18," - ")</f>
        <v>0.1905940594059406</v>
      </c>
      <c r="E18" s="462">
        <f>IF(ISNUMBER((NºAsuntos!C18+NºAsuntos!E18)/NºAsuntos!G18),(NºAsuntos!C18+NºAsuntos!E18)/NºAsuntos!G18," - ")</f>
        <v>1.9108910891089108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0.9023024268823896</v>
      </c>
      <c r="C20" s="1006">
        <f>IF(ISNUMBER(NºAsuntos!I20/NºAsuntos!G20),NºAsuntos!I20/NºAsuntos!G20," - ")</f>
        <v>1.0075862068965518</v>
      </c>
      <c r="D20" s="1009">
        <f>IF(ISNUMBER('Resol  Asuntos'!D20/NºAsuntos!G20),'Resol  Asuntos'!D20/NºAsuntos!G20," - ")</f>
        <v>0.18206896551724139</v>
      </c>
      <c r="E20" s="1008">
        <f>IF(ISNUMBER((NºAsuntos!C20+NºAsuntos!E20)/NºAsuntos!G20),(NºAsuntos!C20+NºAsuntos!E20)/NºAsuntos!G20," - ")</f>
        <v>1.9875862068965517</v>
      </c>
      <c r="G20" s="480"/>
    </row>
    <row r="21" spans="1:7" ht="15.75" customHeight="1" thickTop="1" thickBot="1">
      <c r="A21" s="940" t="str">
        <f>Datos!A21</f>
        <v>TOTAL JURISDICCIONES</v>
      </c>
      <c r="B21" s="955">
        <f>IF(ISNUMBER(NºAsuntos!G21/NºAsuntos!E21),NºAsuntos!G21/NºAsuntos!E21," - ")</f>
        <v>1.0315230426589002</v>
      </c>
      <c r="C21" s="956">
        <f>IF(ISNUMBER(NºAsuntos!I21/NºAsuntos!G21),NºAsuntos!I21/NºAsuntos!G21," - ")</f>
        <v>2.2380003321707358</v>
      </c>
      <c r="D21" s="957">
        <f>IF(ISNUMBER('Resol  Asuntos'!D21/NºAsuntos!G21),'Resol  Asuntos'!D21/NºAsuntos!G21," - ")</f>
        <v>0.19548247799368876</v>
      </c>
      <c r="E21" s="958">
        <f>IF(ISNUMBER((NºAsuntos!C21+NºAsuntos!E21)/NºAsuntos!G21),(NºAsuntos!C21+NºAsuntos!E21)/NºAsuntos!G21," - ")</f>
        <v>3.2202291978076731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r1F0lMMU0G+n+Osfz/6oFoTxJ2YLnYPAe40+a26k6RcDuZMq+044CmQUWuS4KJF4E6Wd2qD9ldVTxpwKLKQkw==" saltValue="w1WOpaLXnb9hp6cNWGV5M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ELCHE-ELX</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488</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632</v>
      </c>
      <c r="Y9" s="344">
        <f>SUM(W9:X9)</f>
        <v>632</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12567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549</v>
      </c>
      <c r="AJ9" s="234" t="str">
        <f>IF(ISNUMBER(Datos!BW9),Datos!BW9," - ")</f>
        <v xml:space="preserve"> - </v>
      </c>
      <c r="AK9" s="233" t="str">
        <f>IF(ISNUMBER(Datos!BX9),Datos!BX9," - ")</f>
        <v xml:space="preserve"> - </v>
      </c>
      <c r="AL9" s="248">
        <f>IF(ISNUMBER(NºAsuntos!G9/NºAsuntos!E9),NºAsuntos!G9/NºAsuntos!E9," - ")</f>
        <v>1.3227091633466135</v>
      </c>
      <c r="AM9" s="265">
        <f>IF(ISNUMBER(((NºAsuntos!I9/NºAsuntos!G9)*11)/factor_trimestre),((NºAsuntos!I9/NºAsuntos!G9)*11)/factor_trimestre," - ")</f>
        <v>10.70331325301205</v>
      </c>
      <c r="AN9" s="249">
        <f>IF(ISNUMBER('Resol  Asuntos'!D9/NºAsuntos!G9),'Resol  Asuntos'!D9/NºAsuntos!G9," - ")</f>
        <v>0.20670180722891565</v>
      </c>
      <c r="AO9" s="250">
        <f>IF(ISNUMBER((NºAsuntos!C9+NºAsuntos!E9)/NºAsuntos!G9),(NºAsuntos!C9+NºAsuntos!E9)/NºAsuntos!G9," - ")</f>
        <v>4.5485692771084336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2</v>
      </c>
      <c r="F10" s="230">
        <f>IF(ISNUMBER(Datos!L10+Datos!K10-Datos!J10-K10),Datos!L10+Datos!K10-Datos!J10-K10," - ")</f>
        <v>111</v>
      </c>
      <c r="G10" s="343">
        <f>IF(ISNUMBER(Datos!I10),Datos!I10," - ")</f>
        <v>111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37</v>
      </c>
      <c r="X10" s="231">
        <f>IF(ISNUMBER(Datos!Q10),Datos!Q10," - ")</f>
        <v>8</v>
      </c>
      <c r="Y10" s="344">
        <f t="shared" ref="Y10:Y13" si="0">SUM(W10:X10)</f>
        <v>45</v>
      </c>
      <c r="Z10" s="345" t="str">
        <f>IF(ISNUMBER(Datos!CC10),Datos!CC10," - ")</f>
        <v xml:space="preserve"> - </v>
      </c>
      <c r="AA10" s="342">
        <f>IF(ISNUMBER(Datos!L10),Datos!L10,"-")</f>
        <v>129</v>
      </c>
      <c r="AB10" s="344">
        <f>IF(ISNUMBER(Datos!R10),Datos!R10," - ")</f>
        <v>181</v>
      </c>
      <c r="AC10" s="344">
        <f t="shared" ref="AC10:AC13" si="1">IF(ISNUMBER(AA10+AB10),AA10+AB10," - ")</f>
        <v>310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16</v>
      </c>
      <c r="AJ10" s="236" t="str">
        <f>IF(ISNUMBER(Datos!BW10),Datos!BW10," - ")</f>
        <v xml:space="preserve"> - </v>
      </c>
      <c r="AK10" s="237" t="str">
        <f>IF(ISNUMBER(Datos!BX10),Datos!BX10," - ")</f>
        <v xml:space="preserve"> - </v>
      </c>
      <c r="AL10" s="248">
        <f>IF(ISNUMBER(NºAsuntos!G10/NºAsuntos!E10),NºAsuntos!G10/NºAsuntos!E10," - ")</f>
        <v>0.67272727272727273</v>
      </c>
      <c r="AM10" s="265">
        <f>IF(ISNUMBER(((NºAsuntos!I10/NºAsuntos!G10)*11)/factor_trimestre),((NºAsuntos!I10/NºAsuntos!G10)*11)/factor_trimestre," - ")</f>
        <v>10.45945945945946</v>
      </c>
      <c r="AN10" s="249">
        <f>IF(ISNUMBER('Resol  Asuntos'!D10/NºAsuntos!G10),'Resol  Asuntos'!D10/NºAsuntos!G10," - ")</f>
        <v>0.43243243243243246</v>
      </c>
      <c r="AO10" s="250">
        <f>IF(ISNUMBER((NºAsuntos!C10+NºAsuntos!E10)/NºAsuntos!G10),(NºAsuntos!C10+NºAsuntos!E10)/NºAsuntos!G10," - ")</f>
        <v>4.4864864864864868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43</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94</v>
      </c>
      <c r="Y11" s="344">
        <f t="shared" si="0"/>
        <v>94</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1472</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84</v>
      </c>
      <c r="AJ11" s="236" t="str">
        <f>IF(ISNUMBER(Datos!BW11),Datos!BW11," - ")</f>
        <v xml:space="preserve"> - </v>
      </c>
      <c r="AK11" s="237" t="str">
        <f>IF(ISNUMBER(Datos!BX11),Datos!BX11," - ")</f>
        <v xml:space="preserve"> - </v>
      </c>
      <c r="AL11" s="248">
        <f>IF(ISNUMBER(NºAsuntos!G11/NºAsuntos!E11),NºAsuntos!G11/NºAsuntos!E11," - ")</f>
        <v>0.76428571428571423</v>
      </c>
      <c r="AM11" s="265">
        <f>IF(ISNUMBER(((NºAsuntos!I11/NºAsuntos!G11)*11)/factor_trimestre),((NºAsuntos!I11/NºAsuntos!G11)*11)/factor_trimestre," - ")</f>
        <v>6.6448598130841114</v>
      </c>
      <c r="AN11" s="249">
        <f>IF(ISNUMBER('Resol  Asuntos'!D11/NºAsuntos!G11),'Resol  Asuntos'!D11/NºAsuntos!G11," - ")</f>
        <v>0.19626168224299065</v>
      </c>
      <c r="AO11" s="250">
        <f>IF(ISNUMBER((NºAsuntos!C11+NºAsuntos!E11)/NºAsuntos!G11),(NºAsuntos!C11+NºAsuntos!E11)/NºAsuntos!G11," - ")</f>
        <v>3.2196261682242993</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111</v>
      </c>
      <c r="G14" s="1013">
        <f t="shared" si="5"/>
        <v>111</v>
      </c>
      <c r="H14" s="1012">
        <f t="shared" si="5"/>
        <v>0</v>
      </c>
      <c r="I14" s="1014">
        <f t="shared" si="5"/>
        <v>0</v>
      </c>
      <c r="J14" s="1014">
        <f t="shared" si="5"/>
        <v>0</v>
      </c>
      <c r="K14" s="1014">
        <f t="shared" si="5"/>
        <v>0</v>
      </c>
      <c r="L14" s="1014">
        <f t="shared" si="5"/>
        <v>554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37</v>
      </c>
      <c r="X14" s="1014">
        <f t="shared" si="6"/>
        <v>734</v>
      </c>
      <c r="Y14" s="1015">
        <f t="shared" si="6"/>
        <v>771</v>
      </c>
      <c r="Z14" s="1015">
        <f t="shared" si="6"/>
        <v>0</v>
      </c>
      <c r="AA14" s="1015">
        <f t="shared" si="6"/>
        <v>129</v>
      </c>
      <c r="AB14" s="1015">
        <f t="shared" si="6"/>
        <v>14220</v>
      </c>
      <c r="AC14" s="1015">
        <f t="shared" si="6"/>
        <v>310</v>
      </c>
      <c r="AD14" s="1015">
        <f t="shared" si="6"/>
        <v>0</v>
      </c>
      <c r="AE14" s="1019">
        <f t="shared" si="6"/>
        <v>0</v>
      </c>
      <c r="AF14" s="1012">
        <f t="shared" si="6"/>
        <v>0</v>
      </c>
      <c r="AG14" s="1020">
        <f t="shared" si="6"/>
        <v>0</v>
      </c>
      <c r="AH14" s="1017">
        <f t="shared" si="6"/>
        <v>0</v>
      </c>
      <c r="AI14" s="1012">
        <f t="shared" si="6"/>
        <v>649</v>
      </c>
      <c r="AJ14" s="1014">
        <f t="shared" si="6"/>
        <v>0</v>
      </c>
      <c r="AK14" s="1017">
        <f>SUBTOTAL(9,AK9:AK13)</f>
        <v>0</v>
      </c>
      <c r="AL14" s="1021">
        <f>IF(ISNUMBER(NºAsuntos!G14/NºAsuntos!E14),NºAsuntos!G14/NºAsuntos!E14," - ")</f>
        <v>1.1898589401448723</v>
      </c>
      <c r="AM14" s="1021">
        <f>IF(ISNUMBER(((NºAsuntos!I14/NºAsuntos!G14)*11)/factor_trimestre),((NºAsuntos!I14/NºAsuntos!G14)*11)/factor_trimestre," - ")</f>
        <v>10.143864146107017</v>
      </c>
      <c r="AN14" s="1022">
        <f>IF(ISNUMBER('Resol  Asuntos'!D14/NºAsuntos!G14),'Resol  Asuntos'!D14/NºAsuntos!G14," - ")</f>
        <v>0.20794617109900673</v>
      </c>
      <c r="AO14" s="1023">
        <f>IF(ISNUMBER((NºAsuntos!C14+NºAsuntos!E14)/NºAsuntos!G14),(NºAsuntos!C14+NºAsuntos!E14)/NºAsuntos!G14," - ")</f>
        <v>4.3655879525793013</v>
      </c>
      <c r="AP14" s="1024" t="str">
        <f t="shared" si="2"/>
        <v xml:space="preserve"> - </v>
      </c>
      <c r="AQ14" s="1024">
        <f>IF(ISNUMBER((H14-W14+K14)/(F14)),(H14-W14+K14)/(F14)," - ")</f>
        <v>-0.33333333333333331</v>
      </c>
      <c r="AR14" s="1025">
        <f>IF(ISNUMBER((Datos!P14-Datos!Q14)/(Datos!R14-Datos!P14+Datos!Q14)),(Datos!P14-Datos!Q14)/(Datos!R14-Datos!P14+Datos!Q14)," - ")</f>
        <v>-1.2500000000000001E-2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2330</v>
      </c>
      <c r="G16" s="343">
        <f>IF(ISNUMBER(IF(D_I="SI",Datos!I16,Datos!I16+Datos!AC16)),IF(D_I="SI",Datos!I16,Datos!I16+Datos!AC16)," - ")</f>
        <v>2272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173</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2496</v>
      </c>
      <c r="X16" s="231">
        <f>IF(ISNUMBER(Datos!Q16),Datos!Q16," - ")</f>
        <v>136</v>
      </c>
      <c r="Y16" s="344">
        <f>SUM(W16)</f>
        <v>2496</v>
      </c>
      <c r="Z16" s="345" t="str">
        <f>IF(ISNUMBER(Datos!CC16),Datos!CC16," - ")</f>
        <v xml:space="preserve"> - </v>
      </c>
      <c r="AA16" s="342">
        <f>IF(ISNUMBER(IF(D_I="SI",Datos!L16,Datos!L16+Datos!AF16)),IF(D_I="SI",Datos!L16,Datos!L16+Datos!AF16)," - ")</f>
        <v>2554</v>
      </c>
      <c r="AB16" s="344">
        <f>IF(ISNUMBER(Datos!R16),Datos!R16," - ")</f>
        <v>494</v>
      </c>
      <c r="AC16" s="344">
        <f t="shared" ref="AC16:AC19" si="8">IF(ISNUMBER(AA16+AB16),AA16+AB16," - ")</f>
        <v>3048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451</v>
      </c>
      <c r="AJ16" s="236" t="str">
        <f>IF(ISNUMBER(Datos!BW16),Datos!BW16," - ")</f>
        <v xml:space="preserve"> - </v>
      </c>
      <c r="AK16" s="237" t="str">
        <f>IF(ISNUMBER(Datos!BX16),Datos!BX16," - ")</f>
        <v xml:space="preserve"> - </v>
      </c>
      <c r="AL16" s="248">
        <f>IF(ISNUMBER(NºAsuntos!G16/NºAsuntos!E16),NºAsuntos!G16/NºAsuntos!E16," - ")</f>
        <v>0.91764705882352937</v>
      </c>
      <c r="AM16" s="265">
        <f>IF(ISNUMBER(((NºAsuntos!I16/NºAsuntos!G16)*11)/factor_trimestre),((NºAsuntos!I16/NºAsuntos!G16)*11)/factor_trimestre," - ")</f>
        <v>3.0697115384615388</v>
      </c>
      <c r="AN16" s="249">
        <f>IF(ISNUMBER('Resol  Asuntos'!D16/NºAsuntos!G16),'Resol  Asuntos'!D16/NºAsuntos!G16," - ")</f>
        <v>0.18068910256410256</v>
      </c>
      <c r="AO16" s="250">
        <f>IF(ISNUMBER((NºAsuntos!C16+NºAsuntos!E16)/NºAsuntos!G16),(NºAsuntos!C16+NºAsuntos!E16)/NºAsuntos!G16," - ")</f>
        <v>2</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2</v>
      </c>
      <c r="F18" s="230" t="str">
        <f>IF(ISNUMBER(AA18+W18-H18-K18),AA18+W18-H18-K18," - ")</f>
        <v xml:space="preserve"> - </v>
      </c>
      <c r="G18" s="343">
        <f>IF(ISNUMBER(IF(D_I="SI",Datos!I18,Datos!I18+Datos!AC18)),IF(D_I="SI",Datos!I18,Datos!I18+Datos!AC18)," - ")</f>
        <v>278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404</v>
      </c>
      <c r="X18" s="231">
        <f>IF(ISNUMBER(Datos!Q18),Datos!Q18," - ")</f>
        <v>0</v>
      </c>
      <c r="Y18" s="344">
        <f t="shared" si="9"/>
        <v>404</v>
      </c>
      <c r="Z18" s="345" t="str">
        <f>IF(ISNUMBER(Datos!CC18),Datos!CC18," - ")</f>
        <v xml:space="preserve"> - </v>
      </c>
      <c r="AA18" s="342">
        <f>IF(ISNUMBER(Datos!L18),Datos!L18,"-")</f>
        <v>368</v>
      </c>
      <c r="AB18" s="344">
        <f>IF(ISNUMBER(Datos!R18),Datos!R18," - ")</f>
        <v>32</v>
      </c>
      <c r="AC18" s="344">
        <f t="shared" si="8"/>
        <v>400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77</v>
      </c>
      <c r="AJ18" s="236" t="str">
        <f>IF(ISNUMBER(Datos!BW18),Datos!BW18," - ")</f>
        <v xml:space="preserve"> - </v>
      </c>
      <c r="AK18" s="237" t="str">
        <f>IF(ISNUMBER(Datos!BX18),Datos!BX18," - ")</f>
        <v xml:space="preserve"> - </v>
      </c>
      <c r="AL18" s="248">
        <f>IF(ISNUMBER(NºAsuntos!G18/NºAsuntos!E18),NºAsuntos!G18/NºAsuntos!E18," - ")</f>
        <v>0.81781376518218618</v>
      </c>
      <c r="AM18" s="265">
        <f>IF(ISNUMBER(((NºAsuntos!I18/NºAsuntos!G18)*11)/factor_trimestre),((NºAsuntos!I18/NºAsuntos!G18)*11)/factor_trimestre," - ")</f>
        <v>2.7326732673267329</v>
      </c>
      <c r="AN18" s="249">
        <f>IF(ISNUMBER('Resol  Asuntos'!D18/NºAsuntos!G18),'Resol  Asuntos'!D18/NºAsuntos!G18," - ")</f>
        <v>0.1905940594059406</v>
      </c>
      <c r="AO18" s="250">
        <f>IF(ISNUMBER((NºAsuntos!C18+NºAsuntos!E18)/NºAsuntos!G18),(NºAsuntos!C18+NºAsuntos!E18)/NºAsuntos!G18," - ")</f>
        <v>1.9108910891089108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2330</v>
      </c>
      <c r="G20" s="1013">
        <f>SUBTOTAL(9,G16:G19)</f>
        <v>2550</v>
      </c>
      <c r="H20" s="1012">
        <f t="shared" ref="H20:O20" si="12">SUBTOTAL(9,H15:H19)</f>
        <v>0</v>
      </c>
      <c r="I20" s="1014">
        <f t="shared" si="12"/>
        <v>0</v>
      </c>
      <c r="J20" s="1014">
        <f t="shared" si="12"/>
        <v>0</v>
      </c>
      <c r="K20" s="1014">
        <f t="shared" si="12"/>
        <v>0</v>
      </c>
      <c r="L20" s="1014">
        <f t="shared" si="12"/>
        <v>176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2900</v>
      </c>
      <c r="X20" s="1014">
        <f t="shared" si="13"/>
        <v>136</v>
      </c>
      <c r="Y20" s="1015">
        <f t="shared" si="13"/>
        <v>2900</v>
      </c>
      <c r="Z20" s="1015">
        <f t="shared" si="13"/>
        <v>0</v>
      </c>
      <c r="AA20" s="1015">
        <f t="shared" si="13"/>
        <v>2922</v>
      </c>
      <c r="AB20" s="1015">
        <f t="shared" si="13"/>
        <v>526</v>
      </c>
      <c r="AC20" s="1015">
        <f t="shared" si="13"/>
        <v>3448</v>
      </c>
      <c r="AD20" s="1015">
        <f t="shared" si="13"/>
        <v>0</v>
      </c>
      <c r="AE20" s="1019">
        <f t="shared" si="13"/>
        <v>0</v>
      </c>
      <c r="AF20" s="1012">
        <f t="shared" si="13"/>
        <v>0</v>
      </c>
      <c r="AG20" s="1020">
        <f t="shared" si="13"/>
        <v>0</v>
      </c>
      <c r="AH20" s="1017">
        <f t="shared" si="13"/>
        <v>0</v>
      </c>
      <c r="AI20" s="1012">
        <f t="shared" si="13"/>
        <v>528</v>
      </c>
      <c r="AJ20" s="1014">
        <f t="shared" si="13"/>
        <v>0</v>
      </c>
      <c r="AK20" s="1017">
        <f t="shared" si="13"/>
        <v>0</v>
      </c>
      <c r="AL20" s="1021">
        <f>IF(ISNUMBER(NºAsuntos!G20/NºAsuntos!E20),NºAsuntos!G20/NºAsuntos!E20," - ")</f>
        <v>0.9023024268823896</v>
      </c>
      <c r="AM20" s="1021">
        <f>IF(ISNUMBER(((NºAsuntos!I20/NºAsuntos!G20)*11)/factor_trimestre),((NºAsuntos!I20/NºAsuntos!G20)*11)/factor_trimestre," - ")</f>
        <v>3.0227586206896557</v>
      </c>
      <c r="AN20" s="1022">
        <f>IF(ISNUMBER('Resol  Asuntos'!D20/NºAsuntos!G20),'Resol  Asuntos'!D20/NºAsuntos!G20," - ")</f>
        <v>0.18206896551724139</v>
      </c>
      <c r="AO20" s="1023">
        <f>IF(ISNUMBER((NºAsuntos!C20+NºAsuntos!E20)/NºAsuntos!G20),(NºAsuntos!C20+NºAsuntos!E20)/NºAsuntos!G20," - ")</f>
        <v>1.9875862068965517</v>
      </c>
      <c r="AP20" s="1024" t="str">
        <f t="shared" si="2"/>
        <v xml:space="preserve"> - </v>
      </c>
      <c r="AQ20" s="1024">
        <f>IF(ISNUMBER((H20-W20+K20)/(F20)),(H20-W20+K20)/(F20)," - ")</f>
        <v>-1.2446351931330473</v>
      </c>
      <c r="AR20" s="1025">
        <f>IF(ISNUMBER((Datos!P20-Datos!Q20)/(Datos!R20-Datos!P20+Datos!Q20)),(Datos!P20-Datos!Q20)/(Datos!R20-Datos!P20+Datos!Q20)," - ")</f>
        <v>8.2304526748971193E-2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17</v>
      </c>
      <c r="F21" s="967">
        <f t="shared" si="15"/>
        <v>2441</v>
      </c>
      <c r="G21" s="968">
        <f t="shared" si="15"/>
        <v>2661</v>
      </c>
      <c r="H21" s="967">
        <f t="shared" si="15"/>
        <v>0</v>
      </c>
      <c r="I21" s="969">
        <f t="shared" si="15"/>
        <v>0</v>
      </c>
      <c r="J21" s="969">
        <f t="shared" si="15"/>
        <v>0</v>
      </c>
      <c r="K21" s="1028">
        <f t="shared" si="15"/>
        <v>0</v>
      </c>
      <c r="L21" s="969">
        <f t="shared" si="15"/>
        <v>730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2937</v>
      </c>
      <c r="X21" s="968">
        <f t="shared" si="16"/>
        <v>870</v>
      </c>
      <c r="Y21" s="975">
        <f t="shared" si="16"/>
        <v>3671</v>
      </c>
      <c r="Z21" s="975">
        <f t="shared" si="16"/>
        <v>0</v>
      </c>
      <c r="AA21" s="975">
        <f t="shared" si="16"/>
        <v>3051</v>
      </c>
      <c r="AB21" s="975">
        <f t="shared" si="16"/>
        <v>14746</v>
      </c>
      <c r="AC21" s="975">
        <f t="shared" si="16"/>
        <v>3758</v>
      </c>
      <c r="AD21" s="975">
        <f t="shared" si="16"/>
        <v>0</v>
      </c>
      <c r="AE21" s="977">
        <f t="shared" si="16"/>
        <v>0</v>
      </c>
      <c r="AF21" s="978">
        <f t="shared" si="16"/>
        <v>0</v>
      </c>
      <c r="AG21" s="979">
        <f t="shared" si="16"/>
        <v>0</v>
      </c>
      <c r="AH21" s="977">
        <f t="shared" si="16"/>
        <v>0</v>
      </c>
      <c r="AI21" s="967">
        <f t="shared" si="16"/>
        <v>1177</v>
      </c>
      <c r="AJ21" s="967">
        <f t="shared" si="16"/>
        <v>0</v>
      </c>
      <c r="AK21" s="977">
        <f t="shared" si="16"/>
        <v>0</v>
      </c>
      <c r="AL21" s="1031">
        <f>IF(ISNUMBER(NºAsuntos!G21/NºAsuntos!E21),NºAsuntos!G21/NºAsuntos!E21," - ")</f>
        <v>1.0315230426589002</v>
      </c>
      <c r="AM21" s="1032">
        <f>IF(ISNUMBER(((NºAsuntos!I21/NºAsuntos!G21)*11)/factor_trimestre),((NºAsuntos!I21/NºAsuntos!G21)*11)/factor_trimestre," - ")</f>
        <v>6.7140009965122083</v>
      </c>
      <c r="AN21" s="1032">
        <f>IF(ISNUMBER('Resol  Asuntos'!D21/NºAsuntos!G21),'Resol  Asuntos'!D21/NºAsuntos!G21," - ")</f>
        <v>0.19548247799368876</v>
      </c>
      <c r="AO21" s="1033">
        <f>IF(ISNUMBER((NºAsuntos!C21+NºAsuntos!E21)/NºAsuntos!G21),(NºAsuntos!C21+NºAsuntos!E21)/NºAsuntos!G21," - ")</f>
        <v>3.2202291978076731</v>
      </c>
      <c r="AP21" s="1034" t="str">
        <f t="shared" si="2"/>
        <v xml:space="preserve"> - </v>
      </c>
      <c r="AQ21" s="1035">
        <f>IF(OR(ISNUMBER(FIND("01",Criterios!A8,1)),ISNUMBER(FIND("02",Criterios!A8,1)),ISNUMBER(FIND("03",Criterios!A8,1)),ISNUMBER(FIND("04",Criterios!A8,1))),(I21-W21+K21)/(F21-K21),(H21-W21+K21)/(F21-K21))</f>
        <v>-1.2031954117165096</v>
      </c>
      <c r="AR21" s="1036">
        <f>IF(ISNUMBER((Datos!P21-Datos!Q21)/(Datos!R21-Datos!P21+Datos!Q21)),(Datos!P21-Datos!Q21)/(Datos!R21-Datos!P21+Datos!Q21)," - ")</f>
        <v>-9.4048098884858249E-3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1064.4000000000001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3.4191971412758715</v>
      </c>
      <c r="F23" s="257">
        <f>IF(ISNUMBER(STDEV(F8:F20)),STDEV(F8:F20),"-")</f>
        <v>1281.1402473317796</v>
      </c>
      <c r="G23" s="258">
        <f>IF(ISNUMBER(STDEV(G8:G20)),STDEV(G8:G20),"-")</f>
        <v>1235.078256629919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1405.8089130461508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266.58689282965776</v>
      </c>
      <c r="AJ23" s="257">
        <f t="shared" si="20"/>
        <v>0</v>
      </c>
      <c r="AK23" s="259">
        <f t="shared" si="20"/>
        <v>0</v>
      </c>
      <c r="AL23" s="254">
        <f t="shared" si="20"/>
        <v>0.23382634082559323</v>
      </c>
      <c r="AM23" s="255">
        <f t="shared" si="20"/>
        <v>3.7519305931167635</v>
      </c>
      <c r="AN23" s="255">
        <f t="shared" si="20"/>
        <v>9.0740312431404277E-2</v>
      </c>
      <c r="AO23" s="256">
        <f t="shared" si="20"/>
        <v>1.2518254413276981</v>
      </c>
      <c r="AP23" s="296" t="str">
        <f t="shared" si="20"/>
        <v>-</v>
      </c>
      <c r="AQ23" s="297">
        <f t="shared" si="20"/>
        <v>0.64438772477229034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mYCZNuCSY4zY2JJD2EnQclNSOOfP89n6z912Vh4Xa1hmHWN3wRIwrJEO3Bgk3fGv5dVaKRRvT57kuewFCVO4Q==" saltValue="4FZfAG6bWHdoF76kOFWD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ELCHE-ELX</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-5.434782608695652E-3</v>
      </c>
      <c r="I9" s="360">
        <f>IF(ISNUMBER((Tasas!C9-Datos!BE9)/Datos!BE9),(Tasas!C9-Datos!BE9)/Datos!BE9," - ")</f>
        <v>0.21772217345269862</v>
      </c>
      <c r="J9" s="359">
        <f>IF(ISNUMBER((Tasas!D9-Datos!BF9)/Datos!BF9),(Tasas!D9-Datos!BF9)/Datos!BF9," - ")</f>
        <v>-0.45926658522579528</v>
      </c>
      <c r="K9" s="361">
        <f>IF(ISNUMBER((Tasas!E9-Datos!BG9)/Datos!BG9),(Tasas!E9-Datos!BG9)/Datos!BG9," - ")</f>
        <v>0.18628187440455748</v>
      </c>
      <c r="M9" t="e">
        <f>IF(Monitorios="SI",Datos!CE9,0)</f>
        <v>#REF!</v>
      </c>
      <c r="N9" t="e">
        <f>IF(Monitorios="SI",Datos!CF9,0)</f>
        <v>#REF!</v>
      </c>
      <c r="O9" t="e">
        <f>IF(Monitorios="SI",Datos!CG9,0)</f>
        <v>#REF!</v>
      </c>
      <c r="P9" t="e">
        <f>IF(Monitorios="SI",Datos!CH9,0)</f>
        <v>#REF!</v>
      </c>
      <c r="Q9">
        <f>IF(J_V="SI",0,Datos!AG9)</f>
        <v>204</v>
      </c>
      <c r="R9">
        <f>IF(J_V="SI",0,Datos!AH9)</f>
        <v>169</v>
      </c>
      <c r="S9">
        <f>IF(J_V="SI",0,Datos!AI9)</f>
        <v>166</v>
      </c>
      <c r="T9">
        <f>IF(J_V="SI",0,Datos!AJ9)</f>
        <v>212</v>
      </c>
    </row>
    <row r="10" spans="2:20" ht="14.25">
      <c r="B10" s="280" t="s">
        <v>273</v>
      </c>
      <c r="C10" s="7" t="str">
        <f>Datos!A10</f>
        <v>Jdos. Violencia contra la mujer</v>
      </c>
      <c r="D10" s="362">
        <f>IF(ISNUMBER((Datos!I10-Datos!S10)/Datos!S10),(Datos!I10-Datos!S10)/Datos!S10," - ")</f>
        <v>-0.21276595744680851</v>
      </c>
      <c r="E10" s="358">
        <f>IF(ISNUMBER((Datos!J10-Datos!T10)/Datos!T10),(Datos!J10-Datos!T10)/Datos!T10," - ")</f>
        <v>-0.21428571428571427</v>
      </c>
      <c r="F10" s="358">
        <f>IF(ISNUMBER((Datos!K10-Datos!U10)/Datos!U10),(Datos!K10-Datos!U10)/Datos!U10," - ")</f>
        <v>-0.55952380952380953</v>
      </c>
      <c r="G10" s="359">
        <f>IF(ISNUMBER((Datos!L10-Datos!V10)/Datos!V10),(Datos!L10-Datos!V10)/Datos!V10," - ")</f>
        <v>1.5748031496062992E-2</v>
      </c>
      <c r="H10" s="235">
        <f>IF(ISNUMBER((Datos!M10-Datos!W10)/Datos!W10),(Datos!M10-Datos!W10)/Datos!W10," - ")</f>
        <v>-0.54285714285714282</v>
      </c>
      <c r="I10" s="360">
        <f>IF(ISNUMBER((Tasas!C10-Datos!BE10)/Datos!BE10),(Tasas!C10-Datos!BE10)/Datos!BE10," - ")</f>
        <v>1.306022557991062</v>
      </c>
      <c r="J10" s="359">
        <f>IF(ISNUMBER((Tasas!D10-Datos!BF10)/Datos!BF10),(Tasas!D10-Datos!BF10)/Datos!BF10," - ")</f>
        <v>3.7837837837837847E-2</v>
      </c>
      <c r="K10" s="361">
        <f>IF(ISNUMBER((Tasas!E10-Datos!BG10)/Datos!BG10),(Tasas!E10-Datos!BG10)/Datos!BG10," - ")</f>
        <v>0.78608940694248763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-0.6093023255813953</v>
      </c>
      <c r="I11" s="360">
        <f>IF(ISNUMBER((Tasas!C11-Datos!BE11)/Datos!BE11),(Tasas!C11-Datos!BE11)/Datos!BE11," - ")</f>
        <v>0.94952498648335515</v>
      </c>
      <c r="J11" s="359">
        <f>IF(ISNUMBER((Tasas!D11-Datos!BF11)/Datos!BF11),(Tasas!D11-Datos!BF11)/Datos!BF11," - ")</f>
        <v>-0.53378730500642746</v>
      </c>
      <c r="K11" s="361">
        <f>IF(ISNUMBER((Tasas!E11-Datos!BG11)/Datos!BG11),(Tasas!E11-Datos!BG11)/Datos!BG11," - ")</f>
        <v>0.52057732556934744</v>
      </c>
      <c r="M11" t="e">
        <f>IF(Monitorios="SI",Datos!CE11,0)</f>
        <v>#REF!</v>
      </c>
      <c r="N11" t="e">
        <f>IF(Monitorios="SI",Datos!CF11,0)</f>
        <v>#REF!</v>
      </c>
      <c r="O11" t="e">
        <f>IF(Monitorios="SI",Datos!CG11,0)</f>
        <v>#REF!</v>
      </c>
      <c r="P11" t="e">
        <f>IF(Monitorios="SI",Datos!CH11,0)</f>
        <v>#REF!</v>
      </c>
      <c r="Q11">
        <f>IF(J_V="SI",0,Datos!AG11)</f>
        <v>60</v>
      </c>
      <c r="R11">
        <f>IF(J_V="SI",0,Datos!AH11)</f>
        <v>228</v>
      </c>
      <c r="S11">
        <f>IF(J_V="SI",0,Datos!AI11)</f>
        <v>201</v>
      </c>
      <c r="T11">
        <f>IF(J_V="SI",0,Datos!AJ11)</f>
        <v>87</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-0.19077306733167082</v>
      </c>
      <c r="I14" s="367">
        <f>IF(ISNUMBER((Tasas!C14-Datos!BE14)/Datos!BE14),(Tasas!C14-Datos!BE14)/Datos!BE14," - ")</f>
        <v>0.30981636016285147</v>
      </c>
      <c r="J14" s="365">
        <f>IF(ISNUMBER((Tasas!D14-Datos!BF14)/Datos!BF14),(Tasas!D14-Datos!BF14)/Datos!BF14," - ")</f>
        <v>-0.46662394531667195</v>
      </c>
      <c r="K14" s="368">
        <f>IF(ISNUMBER((Tasas!E14-Datos!BG14)/Datos!BG14),(Tasas!E14-Datos!BG14)/Datos!BG14," - ")</f>
        <v>0.24672239689951428</v>
      </c>
      <c r="M14" t="e">
        <f>IF(Monitorios="SI",Datos!CE14,0)</f>
        <v>#REF!</v>
      </c>
      <c r="N14" t="e">
        <f>IF(Monitorios="SI",Datos!CF14,0)</f>
        <v>#REF!</v>
      </c>
      <c r="O14" t="e">
        <f>IF(Monitorios="SI",Datos!CG14,0)</f>
        <v>#REF!</v>
      </c>
      <c r="P14" t="e">
        <f>IF(Monitorios="SI",Datos!CH14,0)</f>
        <v>#REF!</v>
      </c>
      <c r="Q14">
        <f>IF(J_V="SI",0,Datos!AG14)</f>
        <v>264</v>
      </c>
      <c r="R14">
        <f>IF(J_V="SI",0,Datos!AH14)</f>
        <v>397</v>
      </c>
      <c r="S14">
        <f>IF(J_V="SI",0,Datos!AI14)</f>
        <v>367</v>
      </c>
      <c r="T14">
        <f>IF(J_V="SI",0,Datos!AJ14)</f>
        <v>299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0.16453100973859558</v>
      </c>
      <c r="E16" s="358">
        <f>IF(ISNUMBER(
   IF(D_I="SI",(Datos!J16-Datos!T16)/Datos!T16,(Datos!J16+Datos!AD16-(Datos!T16+Datos!AL16))/(Datos!T16+Datos!AL16))
     ),IF(D_I="SI",(Datos!J16-Datos!T16)/Datos!T16,(Datos!J16+Datos!AD16-(Datos!T16+Datos!AL16))/(Datos!T16+Datos!AL16))," - ")</f>
        <v>-1.0189228529839884E-2</v>
      </c>
      <c r="F16" s="358">
        <f>IF(ISNUMBER(
   IF(D_I="SI",(Datos!K16-Datos!U16)/Datos!U16,(Datos!K16+Datos!AE16-(Datos!U16+Datos!AM16))/(Datos!U16+Datos!AM16))
     ),IF(D_I="SI",(Datos!K16-Datos!U16)/Datos!U16,(Datos!K16+Datos!AE16-(Datos!U16+Datos!AM16))/(Datos!U16+Datos!AM16))," - ")</f>
        <v>-0.15987882867721306</v>
      </c>
      <c r="G16" s="359">
        <f>IF(ISNUMBER(
   IF(D_I="SI",(Datos!L16-Datos!V16)/Datos!V16,(Datos!L16+Datos!AF16-(Datos!V16+Datos!AN16))/(Datos!V16+Datos!AN16))
     ),IF(D_I="SI",(Datos!L16-Datos!V16)/Datos!V16,(Datos!L16+Datos!AF16-(Datos!V16+Datos!AN16))/(Datos!V16+Datos!AN16))," - ")</f>
        <v>0.4404963338973491</v>
      </c>
      <c r="H16" s="235">
        <f>IF(ISNUMBER((Datos!M16-Datos!W16)/Datos!W16),(Datos!M16-Datos!W16)/Datos!W16," - ")</f>
        <v>-0.14095238095238094</v>
      </c>
      <c r="I16" s="360">
        <f>IF(ISNUMBER((Tasas!C16-Datos!BE16)/Datos!BE16),(Tasas!C16-Datos!BE16)/Datos!BE16," - ")</f>
        <v>0.71462925000361543</v>
      </c>
      <c r="J16" s="359">
        <f>IF(ISNUMBER((Tasas!D16-Datos!BF16)/Datos!BF16),(Tasas!D16-Datos!BF16)/Datos!BF16," - ")</f>
        <v>2.2528235653235605E-2</v>
      </c>
      <c r="K16" s="361">
        <f>IF(ISNUMBER((Tasas!E16-Datos!BG16)/Datos!BG16),(Tasas!E16-Datos!BG16)/Datos!BG16," - ")</f>
        <v>0.2645243668865716</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0.36945812807881773</v>
      </c>
      <c r="E18" s="358">
        <f>IF(ISNUMBER(
   IF(D_I="SI",(Datos!J18-Datos!T18)/Datos!T18,(Datos!J18+Datos!AD18-(Datos!T18+Datos!AL18))/(Datos!T18+Datos!AL18))
     ),IF(D_I="SI",(Datos!J18-Datos!T18)/Datos!T18,(Datos!J18+Datos!AD18-(Datos!T18+Datos!AL18))/(Datos!T18+Datos!AL18))," - ")</f>
        <v>0.28645833333333331</v>
      </c>
      <c r="F18" s="358">
        <f>IF(ISNUMBER(
   IF(D_I="SI",(Datos!K18-Datos!U18)/Datos!U18,(Datos!K18+Datos!AE18-(Datos!U18+Datos!AM18))/(Datos!U18+Datos!AM18))
     ),IF(D_I="SI",(Datos!K18-Datos!U18)/Datos!U18,(Datos!K18+Datos!AE18-(Datos!U18+Datos!AM18))/(Datos!U18+Datos!AM18))," - ")</f>
        <v>-1.2224938875305624E-2</v>
      </c>
      <c r="G18" s="359">
        <f>IF(ISNUMBER(
   IF(D_I="SI",(Datos!L18-Datos!V18)/Datos!V18,(Datos!L18+Datos!AF18-(Datos!V18+Datos!AN18))/(Datos!V18+Datos!AN18))
     ),IF(D_I="SI",(Datos!L18-Datos!V18)/Datos!V18,(Datos!L18+Datos!AF18-(Datos!V18+Datos!AN18))/(Datos!V18+Datos!AN18))," - ")</f>
        <v>1.0674157303370786</v>
      </c>
      <c r="H18" s="235">
        <f>IF(ISNUMBER((Datos!M18-Datos!W18)/Datos!W18),(Datos!M18-Datos!W18)/Datos!W18," - ")</f>
        <v>0.18461538461538463</v>
      </c>
      <c r="I18" s="360">
        <f>IF(ISNUMBER((Tasas!C18-Datos!BE18)/Datos!BE18),(Tasas!C18-Datos!BE18)/Datos!BE18," - ")</f>
        <v>1.0930025586828347</v>
      </c>
      <c r="J18" s="359">
        <f>IF(ISNUMBER((Tasas!D18-Datos!BF18)/Datos!BF18),(Tasas!D18-Datos!BF18)/Datos!BF18," - ")</f>
        <v>0.19927646610814923</v>
      </c>
      <c r="K18" s="361">
        <f>IF(ISNUMBER((Tasas!E18-Datos!BG18)/Datos!BG18),(Tasas!E18-Datos!BG18)/Datos!BG18," - ")</f>
        <v>0.33143859530757169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0.18384401114206128</v>
      </c>
      <c r="E20" s="364">
        <f>IF(ISNUMBER(
   IF(D_I="SI",(Datos!J20-Datos!T20)/Datos!T20,(Datos!J20+Datos!AD20-(Datos!T20+Datos!AL20))/(Datos!T20+Datos!AL20))
     ),IF(D_I="SI",(Datos!J20-Datos!T20)/Datos!T20,(Datos!J20+Datos!AD20-(Datos!T20+Datos!AL20))/(Datos!T20+Datos!AL20))," - ")</f>
        <v>2.6181353767560665E-2</v>
      </c>
      <c r="F20" s="364">
        <f>IF(ISNUMBER(
   IF(D_I="SI",(Datos!K20-Datos!U20)/Datos!U20,(Datos!K20+Datos!AE20-(Datos!U20+Datos!AM20))/(Datos!U20+Datos!AM20))
     ),IF(D_I="SI",(Datos!K20-Datos!U20)/Datos!U20,(Datos!K20+Datos!AE20-(Datos!U20+Datos!AM20))/(Datos!U20+Datos!AM20))," - ")</f>
        <v>-0.14201183431952663</v>
      </c>
      <c r="G20" s="365">
        <f>IF(ISNUMBER(
   IF(D_I="SI",(Datos!L20-Datos!V20)/Datos!V20,(Datos!L20+Datos!AF20-(Datos!V20+Datos!AN20))/(Datos!V20+Datos!AN20))
     ),IF(D_I="SI",(Datos!L20-Datos!V20)/Datos!V20,(Datos!L20+Datos!AF20-(Datos!V20+Datos!AN20))/(Datos!V20+Datos!AN20))," - ")</f>
        <v>0.49769349051768325</v>
      </c>
      <c r="H20" s="366">
        <f>IF(ISNUMBER((Datos!M20-Datos!W20)/Datos!W20),(Datos!M20-Datos!W20)/Datos!W20," - ")</f>
        <v>-0.10508474576271186</v>
      </c>
      <c r="I20" s="367">
        <f>IF(ISNUMBER((Tasas!C20-Datos!BE20)/Datos!BE20),(Tasas!C20-Datos!BE20)/Datos!BE20," - ")</f>
        <v>0.74558758549992032</v>
      </c>
      <c r="J20" s="365">
        <f>IF(ISNUMBER((Tasas!D20-Datos!BF20)/Datos!BF20),(Tasas!D20-Datos!BF20)/Datos!BF20," - ")</f>
        <v>4.303915838690827E-2</v>
      </c>
      <c r="K20" s="368">
        <f>IF(ISNUMBER((Tasas!E20-Datos!BG20)/Datos!BG20),(Tasas!E20-Datos!BG20)/Datos!BG20," - ")</f>
        <v>0.27091210353960371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0.26583224360171864</v>
      </c>
      <c r="E21" s="373">
        <f>IF(ISNUMBER(
   IF(J_V="SI",(Datos!J21-Datos!T21)/Datos!T21,(Datos!J21+Datos!Z21-(Datos!T21+Datos!AH21))/(Datos!T21+Datos!AH21))
     ),IF(J_V="SI",(Datos!J21-Datos!T21)/Datos!T21,(Datos!J21+Datos!Z21-(Datos!T21+Datos!AH21))/(Datos!T21+Datos!AH21))," - ")</f>
        <v>-0.20019183337900795</v>
      </c>
      <c r="F21" s="373">
        <f>IF(ISNUMBER(
   IF(J_V="SI",(Datos!K21-Datos!U21)/Datos!U21,(Datos!K21+Datos!AA21-(Datos!U21+Datos!AI21))/(Datos!U21+Datos!AI21))
     ),IF(J_V="SI",(Datos!K21-Datos!U21)/Datos!U21,(Datos!K21+Datos!AA21-(Datos!U21+Datos!AI21))/(Datos!U21+Datos!AI21))," - ")</f>
        <v>-0.14132915002852253</v>
      </c>
      <c r="G21" s="374">
        <f>IF(ISNUMBER(
   IF(J_V="SI",(Datos!L21-Datos!V21)/Datos!V21,(Datos!L21+Datos!AB21-(Datos!V21+Datos!AJ21))/(Datos!V21+Datos!AJ21))
     ),IF(J_V="SI",(Datos!L21-Datos!V21)/Datos!V21,(Datos!L21+Datos!AB21-(Datos!V21+Datos!AJ21))/(Datos!V21+Datos!AJ21))," - ")</f>
        <v>0.1896353844795621</v>
      </c>
      <c r="H21" s="375">
        <f>IF(ISNUMBER((Datos!M21-Datos!W21)/Datos!W21),(Datos!M21-Datos!W21)/Datos!W21," - ")</f>
        <v>-0.15445402298850575</v>
      </c>
      <c r="I21" s="372">
        <f>IF(ISNUMBER((Tasas!C21-Datos!BE21)/Datos!BE21),(Tasas!C21-Datos!BE21)/Datos!BE21," - ")</f>
        <v>0.38543818567857319</v>
      </c>
      <c r="J21" s="373">
        <f>IF(ISNUMBER((Tasas!D21-Datos!BF21)/Datos!BF21),(Tasas!D21-Datos!BF21)/Datos!BF21," - ")</f>
        <v>-0.31668836705296838</v>
      </c>
      <c r="K21" s="374">
        <f>IF(ISNUMBER((Tasas!E21-Datos!BG21)/Datos!BG21),(Tasas!E21-Datos!BG21)/Datos!BG21," - ")</f>
        <v>0.25417946761982918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0.24417515411724591</v>
      </c>
      <c r="E23" s="283">
        <f t="shared" si="1"/>
        <v>0.20560704609558861</v>
      </c>
      <c r="F23" s="283">
        <f t="shared" si="1"/>
        <v>0.23673718776631592</v>
      </c>
      <c r="G23" s="284">
        <f t="shared" si="1"/>
        <v>0.43200794452113628</v>
      </c>
      <c r="H23" s="290">
        <f t="shared" si="1"/>
        <v>0.28385178225558116</v>
      </c>
      <c r="I23" s="282">
        <f t="shared" si="1"/>
        <v>0.39663372074897213</v>
      </c>
      <c r="J23" s="283">
        <f t="shared" si="1"/>
        <v>0.30709960313869727</v>
      </c>
      <c r="K23" s="284">
        <f t="shared" si="1"/>
        <v>0.21100751749483052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WaLxWtAy+7DkKcdl+c7kQq74pQ5OIDvBt01lSbD/YZumEbS8RB9Mc091F+U5myV39J7OB4Un8hn7oIOzDhUnw==" saltValue="xf5z7SgrhWX7364x7sxgF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